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BMC_2022 Workfront\401250_22_FERC updates (June)\BHP\"/>
    </mc:Choice>
  </mc:AlternateContent>
  <xr:revisionPtr revIDLastSave="0" documentId="8_{B160A5F7-4F1E-422A-9CDA-BB4BEE2AC236}" xr6:coauthVersionLast="47" xr6:coauthVersionMax="47" xr10:uidLastSave="{00000000-0000-0000-0000-000000000000}"/>
  <bookViews>
    <workbookView xWindow="-28920" yWindow="-120" windowWidth="29040" windowHeight="15990" tabRatio="724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'True-Up'!$A$1:$K$237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7" l="1"/>
  <c r="Q20" i="37"/>
  <c r="Q40" i="37"/>
  <c r="P20" i="37"/>
  <c r="O20" i="37"/>
  <c r="Q19" i="37"/>
  <c r="P19" i="37"/>
  <c r="O19" i="37"/>
  <c r="Q18" i="37"/>
  <c r="Q38" i="37"/>
  <c r="P18" i="37"/>
  <c r="O18" i="37"/>
  <c r="O38" i="37"/>
  <c r="Q17" i="37"/>
  <c r="P17" i="37"/>
  <c r="O17" i="37"/>
  <c r="Q16" i="37"/>
  <c r="P16" i="37"/>
  <c r="O16" i="37"/>
  <c r="O36" i="37"/>
  <c r="Q15" i="37"/>
  <c r="Q22" i="37"/>
  <c r="P15" i="37"/>
  <c r="P35" i="37"/>
  <c r="O15" i="37"/>
  <c r="O37" i="37"/>
  <c r="O39" i="37"/>
  <c r="Q39" i="37"/>
  <c r="O40" i="37"/>
  <c r="P40" i="37"/>
  <c r="Q37" i="37"/>
  <c r="E95" i="35"/>
  <c r="Q28" i="37"/>
  <c r="E98" i="35"/>
  <c r="E101" i="35"/>
  <c r="D17" i="3"/>
  <c r="D11" i="3"/>
  <c r="Q30" i="37"/>
  <c r="P30" i="37"/>
  <c r="O30" i="37"/>
  <c r="N30" i="37"/>
  <c r="M30" i="37"/>
  <c r="L30" i="37"/>
  <c r="K30" i="37"/>
  <c r="J30" i="37"/>
  <c r="I30" i="37"/>
  <c r="H30" i="37"/>
  <c r="G30" i="37"/>
  <c r="F30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E27" i="37"/>
  <c r="N20" i="37"/>
  <c r="M20" i="37"/>
  <c r="L20" i="37"/>
  <c r="K20" i="37"/>
  <c r="J20" i="37"/>
  <c r="I20" i="37"/>
  <c r="H20" i="37"/>
  <c r="G20" i="37"/>
  <c r="F20" i="37"/>
  <c r="E20" i="37"/>
  <c r="N19" i="37"/>
  <c r="M19" i="37"/>
  <c r="L19" i="37"/>
  <c r="K19" i="37"/>
  <c r="J19" i="37"/>
  <c r="I19" i="37"/>
  <c r="H19" i="37"/>
  <c r="G19" i="37"/>
  <c r="F19" i="37"/>
  <c r="E19" i="37"/>
  <c r="N18" i="37"/>
  <c r="M18" i="37"/>
  <c r="L18" i="37"/>
  <c r="K18" i="37"/>
  <c r="J18" i="37"/>
  <c r="I18" i="37"/>
  <c r="H18" i="37"/>
  <c r="G18" i="37"/>
  <c r="F18" i="37"/>
  <c r="E18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M15" i="37"/>
  <c r="L15" i="37"/>
  <c r="K15" i="37"/>
  <c r="J15" i="37"/>
  <c r="I15" i="37"/>
  <c r="H15" i="37"/>
  <c r="G15" i="37"/>
  <c r="F1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E171" i="37"/>
  <c r="Q16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E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E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Q87" i="37"/>
  <c r="Q26" i="37"/>
  <c r="P87" i="37"/>
  <c r="P27" i="37"/>
  <c r="P37" i="37"/>
  <c r="O87" i="37"/>
  <c r="O27" i="37"/>
  <c r="N87" i="37"/>
  <c r="N27" i="37"/>
  <c r="M87" i="37"/>
  <c r="M28" i="37"/>
  <c r="M38" i="37"/>
  <c r="M42" i="37"/>
  <c r="L87" i="37"/>
  <c r="L25" i="37"/>
  <c r="L35" i="37"/>
  <c r="K87" i="37"/>
  <c r="K28" i="37"/>
  <c r="K38" i="37"/>
  <c r="K42" i="37"/>
  <c r="J87" i="37"/>
  <c r="J28" i="37"/>
  <c r="I87" i="37"/>
  <c r="I25" i="37"/>
  <c r="H87" i="37"/>
  <c r="H28" i="37"/>
  <c r="H38" i="37"/>
  <c r="H42" i="37"/>
  <c r="G87" i="37"/>
  <c r="G27" i="37"/>
  <c r="F87" i="37"/>
  <c r="F27" i="37"/>
  <c r="C85" i="37"/>
  <c r="C83" i="37"/>
  <c r="E82" i="37"/>
  <c r="E80" i="37"/>
  <c r="E79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L36" i="37"/>
  <c r="L28" i="37"/>
  <c r="P25" i="37"/>
  <c r="H26" i="37"/>
  <c r="P28" i="37"/>
  <c r="E28" i="37"/>
  <c r="E38" i="37"/>
  <c r="E25" i="37"/>
  <c r="P26" i="37"/>
  <c r="H27" i="37"/>
  <c r="H37" i="37"/>
  <c r="E15" i="37"/>
  <c r="E87" i="37"/>
  <c r="O149" i="37"/>
  <c r="L27" i="37"/>
  <c r="H25" i="37"/>
  <c r="E26" i="37"/>
  <c r="M26" i="37"/>
  <c r="Q27" i="37"/>
  <c r="E76" i="37"/>
  <c r="J25" i="37"/>
  <c r="F26" i="37"/>
  <c r="N26" i="37"/>
  <c r="J27" i="37"/>
  <c r="F28" i="37"/>
  <c r="N28" i="37"/>
  <c r="N38" i="37"/>
  <c r="N42" i="37"/>
  <c r="I149" i="37"/>
  <c r="Q149" i="37"/>
  <c r="Q25" i="37"/>
  <c r="Q32" i="37"/>
  <c r="I27" i="37"/>
  <c r="H149" i="37"/>
  <c r="K25" i="37"/>
  <c r="G26" i="37"/>
  <c r="O26" i="37"/>
  <c r="K27" i="37"/>
  <c r="K37" i="37"/>
  <c r="G28" i="37"/>
  <c r="O28" i="37"/>
  <c r="O32" i="37"/>
  <c r="J149" i="37"/>
  <c r="M27" i="37"/>
  <c r="J26" i="37"/>
  <c r="E149" i="37"/>
  <c r="E150" i="37"/>
  <c r="M149" i="37"/>
  <c r="K149" i="37"/>
  <c r="I28" i="37"/>
  <c r="I38" i="37"/>
  <c r="I42" i="37"/>
  <c r="L149" i="37"/>
  <c r="K26" i="37"/>
  <c r="F149" i="37"/>
  <c r="N149" i="37"/>
  <c r="G149" i="37"/>
  <c r="P149" i="37"/>
  <c r="P150" i="37"/>
  <c r="L150" i="37"/>
  <c r="F150" i="37"/>
  <c r="F25" i="37"/>
  <c r="N150" i="37"/>
  <c r="N25" i="37"/>
  <c r="M150" i="37"/>
  <c r="M25" i="37"/>
  <c r="M35" i="37"/>
  <c r="H150" i="37"/>
  <c r="I150" i="37"/>
  <c r="I26" i="37"/>
  <c r="G150" i="37"/>
  <c r="G25" i="37"/>
  <c r="O150" i="37"/>
  <c r="O25" i="37"/>
  <c r="K150" i="37"/>
  <c r="Q150" i="37"/>
  <c r="J150" i="37"/>
  <c r="K22" i="37"/>
  <c r="J22" i="37"/>
  <c r="I22" i="37"/>
  <c r="P38" i="37"/>
  <c r="N37" i="37"/>
  <c r="K32" i="37"/>
  <c r="K36" i="37"/>
  <c r="G37" i="37"/>
  <c r="F56" i="37"/>
  <c r="G51" i="37"/>
  <c r="G58" i="37"/>
  <c r="E53" i="35"/>
  <c r="J53" i="35"/>
  <c r="J40" i="37"/>
  <c r="H40" i="37"/>
  <c r="G40" i="37"/>
  <c r="R29" i="37"/>
  <c r="E29" i="35"/>
  <c r="H196" i="35"/>
  <c r="J196" i="35"/>
  <c r="J24" i="24"/>
  <c r="D28" i="3"/>
  <c r="D30" i="3"/>
  <c r="I24" i="24"/>
  <c r="H24" i="24"/>
  <c r="G24" i="24"/>
  <c r="F24" i="24"/>
  <c r="E24" i="24"/>
  <c r="D24" i="24"/>
  <c r="E41" i="37"/>
  <c r="E40" i="37"/>
  <c r="E42" i="37"/>
  <c r="E39" i="37"/>
  <c r="E35" i="37"/>
  <c r="I44" i="24"/>
  <c r="H44" i="24"/>
  <c r="G44" i="24"/>
  <c r="F44" i="24"/>
  <c r="E44" i="24"/>
  <c r="D44" i="24"/>
  <c r="G64" i="37"/>
  <c r="E59" i="35"/>
  <c r="N39" i="37"/>
  <c r="J39" i="37"/>
  <c r="M40" i="37"/>
  <c r="I40" i="37"/>
  <c r="F40" i="37"/>
  <c r="J139" i="35"/>
  <c r="O4" i="31"/>
  <c r="O3" i="31"/>
  <c r="J2" i="24"/>
  <c r="I206" i="24"/>
  <c r="J206" i="24"/>
  <c r="I128" i="24"/>
  <c r="J128" i="24"/>
  <c r="F14" i="41"/>
  <c r="F13" i="41"/>
  <c r="F12" i="41"/>
  <c r="I2" i="37"/>
  <c r="R2" i="37"/>
  <c r="H1" i="3"/>
  <c r="J63" i="35"/>
  <c r="K77" i="31"/>
  <c r="M53" i="31"/>
  <c r="D20" i="3"/>
  <c r="D22" i="3"/>
  <c r="N52" i="31"/>
  <c r="N54" i="31"/>
  <c r="H31" i="35"/>
  <c r="H11" i="3"/>
  <c r="H14" i="3"/>
  <c r="E105" i="35"/>
  <c r="G25" i="35"/>
  <c r="G45" i="35"/>
  <c r="G99" i="35"/>
  <c r="G80" i="35"/>
  <c r="G81" i="35"/>
  <c r="G82" i="35"/>
  <c r="A12" i="3"/>
  <c r="A13" i="3"/>
  <c r="A14" i="3"/>
  <c r="A15" i="3"/>
  <c r="A16" i="3"/>
  <c r="A17" i="3"/>
  <c r="A18" i="3"/>
  <c r="A19" i="3"/>
  <c r="A20" i="3"/>
  <c r="B22" i="3"/>
  <c r="G12" i="3"/>
  <c r="H12" i="3"/>
  <c r="G13" i="3"/>
  <c r="H13" i="3"/>
  <c r="D14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I114" i="24"/>
  <c r="I115" i="24"/>
  <c r="A16" i="37"/>
  <c r="A17" i="37"/>
  <c r="A18" i="37"/>
  <c r="A19" i="37"/>
  <c r="R21" i="37"/>
  <c r="E21" i="35"/>
  <c r="J21" i="35"/>
  <c r="C25" i="37"/>
  <c r="C35" i="37"/>
  <c r="C28" i="37"/>
  <c r="C38" i="37"/>
  <c r="C30" i="37"/>
  <c r="C40" i="37"/>
  <c r="C31" i="37"/>
  <c r="C41" i="37"/>
  <c r="R31" i="37"/>
  <c r="E31" i="35"/>
  <c r="E41" i="35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G62" i="37"/>
  <c r="G65" i="37"/>
  <c r="G63" i="37"/>
  <c r="E58" i="35"/>
  <c r="E65" i="37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E32" i="31"/>
  <c r="J193" i="35"/>
  <c r="E198" i="35"/>
  <c r="E199" i="35"/>
  <c r="F197" i="35"/>
  <c r="J197" i="35"/>
  <c r="A16" i="35"/>
  <c r="A17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G47" i="35"/>
  <c r="G48" i="35"/>
  <c r="G49" i="35"/>
  <c r="G50" i="35"/>
  <c r="I64" i="35"/>
  <c r="J64" i="35"/>
  <c r="G72" i="35"/>
  <c r="G73" i="35"/>
  <c r="G77" i="35"/>
  <c r="G83" i="35"/>
  <c r="D84" i="35"/>
  <c r="C88" i="35"/>
  <c r="C90" i="35"/>
  <c r="G96" i="35"/>
  <c r="D100" i="35"/>
  <c r="G100" i="35"/>
  <c r="I123" i="35"/>
  <c r="J123" i="35"/>
  <c r="H173" i="35"/>
  <c r="H174" i="35"/>
  <c r="E175" i="35"/>
  <c r="H197" i="35"/>
  <c r="J198" i="35"/>
  <c r="I201" i="35"/>
  <c r="J201" i="35"/>
  <c r="D10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G50" i="37"/>
  <c r="E45" i="35"/>
  <c r="J79" i="35"/>
  <c r="J157" i="35"/>
  <c r="J122" i="35"/>
  <c r="H84" i="35"/>
  <c r="H90" i="35"/>
  <c r="J90" i="35"/>
  <c r="J84" i="35"/>
  <c r="J200" i="35"/>
  <c r="E146" i="35"/>
  <c r="G52" i="37"/>
  <c r="E47" i="35"/>
  <c r="G53" i="37"/>
  <c r="E48" i="35"/>
  <c r="G55" i="37"/>
  <c r="E50" i="35"/>
  <c r="P39" i="37"/>
  <c r="I39" i="37"/>
  <c r="M39" i="37"/>
  <c r="K39" i="37"/>
  <c r="H39" i="37"/>
  <c r="G39" i="37"/>
  <c r="L39" i="37"/>
  <c r="F39" i="37"/>
  <c r="R30" i="37"/>
  <c r="R32" i="37"/>
  <c r="F65" i="37"/>
  <c r="G22" i="37"/>
  <c r="F22" i="37"/>
  <c r="E37" i="37"/>
  <c r="M22" i="37"/>
  <c r="N22" i="37"/>
  <c r="E22" i="37"/>
  <c r="E36" i="37"/>
  <c r="H22" i="37"/>
  <c r="L22" i="37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N40" i="37"/>
  <c r="E32" i="37"/>
  <c r="K40" i="37"/>
  <c r="D27" i="3"/>
  <c r="A18" i="35"/>
  <c r="L40" i="37"/>
  <c r="E135" i="35"/>
  <c r="A19" i="35"/>
  <c r="A20" i="35"/>
  <c r="A21" i="35"/>
  <c r="D22" i="35"/>
  <c r="A22" i="35"/>
  <c r="A23" i="35"/>
  <c r="A24" i="35"/>
  <c r="A25" i="35"/>
  <c r="A26" i="35"/>
  <c r="D35" i="35"/>
  <c r="A27" i="35"/>
  <c r="D36" i="35"/>
  <c r="E154" i="35"/>
  <c r="E164" i="35"/>
  <c r="A28" i="35"/>
  <c r="D37" i="35"/>
  <c r="A29" i="35"/>
  <c r="D38" i="35"/>
  <c r="A30" i="35"/>
  <c r="D39" i="35"/>
  <c r="A31" i="35"/>
  <c r="D40" i="35"/>
  <c r="A32" i="35"/>
  <c r="A33" i="35"/>
  <c r="A34" i="35"/>
  <c r="A35" i="35"/>
  <c r="D41" i="35"/>
  <c r="D32" i="35"/>
  <c r="A36" i="35"/>
  <c r="A37" i="35"/>
  <c r="A38" i="35"/>
  <c r="A39" i="35"/>
  <c r="A40" i="35"/>
  <c r="A41" i="35"/>
  <c r="A42" i="35"/>
  <c r="D42" i="35"/>
  <c r="A43" i="35"/>
  <c r="A44" i="35"/>
  <c r="A45" i="35"/>
  <c r="D51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76" i="35"/>
  <c r="D62" i="35"/>
  <c r="D60" i="35"/>
  <c r="A77" i="35"/>
  <c r="A78" i="35"/>
  <c r="A79" i="35"/>
  <c r="A80" i="35"/>
  <c r="A81" i="35"/>
  <c r="A82" i="35"/>
  <c r="A83" i="35"/>
  <c r="A84" i="35"/>
  <c r="A85" i="35"/>
  <c r="D56" i="35"/>
  <c r="A86" i="35"/>
  <c r="A87" i="35"/>
  <c r="A88" i="35"/>
  <c r="C85" i="35"/>
  <c r="A89" i="35"/>
  <c r="A90" i="35"/>
  <c r="A91" i="35"/>
  <c r="C91" i="35"/>
  <c r="A92" i="35"/>
  <c r="A93" i="35"/>
  <c r="A94" i="35"/>
  <c r="A95" i="35"/>
  <c r="A96" i="35"/>
  <c r="A97" i="35"/>
  <c r="A98" i="35"/>
  <c r="A99" i="35"/>
  <c r="A100" i="35"/>
  <c r="A101" i="35"/>
  <c r="C101" i="35"/>
  <c r="A102" i="35"/>
  <c r="A103" i="35"/>
  <c r="A104" i="35"/>
  <c r="A105" i="35"/>
  <c r="A106" i="35"/>
  <c r="A107" i="35"/>
  <c r="A108" i="35"/>
  <c r="A109" i="35"/>
  <c r="A110" i="35"/>
  <c r="A111" i="35"/>
  <c r="A112" i="35"/>
  <c r="A113" i="35"/>
  <c r="C115" i="35"/>
  <c r="A114" i="35"/>
  <c r="A115" i="35"/>
  <c r="D110" i="35"/>
  <c r="A116" i="35"/>
  <c r="A117" i="35"/>
  <c r="A118" i="35"/>
  <c r="A119" i="35"/>
  <c r="D52" i="31"/>
  <c r="A135" i="35"/>
  <c r="C119" i="35"/>
  <c r="A136" i="35"/>
  <c r="A137" i="35"/>
  <c r="A138" i="35"/>
  <c r="A139" i="35"/>
  <c r="A140" i="35"/>
  <c r="C140" i="35"/>
  <c r="C138" i="35"/>
  <c r="A141" i="35"/>
  <c r="A142" i="35"/>
  <c r="A143" i="35"/>
  <c r="A144" i="35"/>
  <c r="A145" i="35"/>
  <c r="A146" i="35"/>
  <c r="A147" i="35"/>
  <c r="A148" i="35"/>
  <c r="A149" i="35"/>
  <c r="C151" i="35"/>
  <c r="C149" i="35"/>
  <c r="C143" i="35"/>
  <c r="A150" i="35"/>
  <c r="A151" i="35"/>
  <c r="A152" i="35"/>
  <c r="A153" i="35"/>
  <c r="A154" i="35"/>
  <c r="C139" i="35"/>
  <c r="C141" i="35"/>
  <c r="A155" i="35"/>
  <c r="A156" i="35"/>
  <c r="C156" i="35"/>
  <c r="A157" i="35"/>
  <c r="C158" i="35"/>
  <c r="A158" i="35"/>
  <c r="C159" i="35"/>
  <c r="A159" i="35"/>
  <c r="A160" i="35"/>
  <c r="A161" i="35"/>
  <c r="A162" i="35"/>
  <c r="A163" i="35"/>
  <c r="A164" i="35"/>
  <c r="C161" i="35"/>
  <c r="A165" i="35"/>
  <c r="A166" i="35"/>
  <c r="C157" i="35"/>
  <c r="C168" i="35"/>
  <c r="A167" i="35"/>
  <c r="A168" i="35"/>
  <c r="A169" i="35"/>
  <c r="A170" i="35"/>
  <c r="A171" i="35"/>
  <c r="A172" i="35"/>
  <c r="A173" i="35"/>
  <c r="C166" i="35"/>
  <c r="A174" i="35"/>
  <c r="A175" i="35"/>
  <c r="A176" i="35"/>
  <c r="A177" i="35"/>
  <c r="A178" i="35"/>
  <c r="A179" i="35"/>
  <c r="A180" i="35"/>
  <c r="A181" i="35"/>
  <c r="A182" i="35"/>
  <c r="A183" i="35"/>
  <c r="A184" i="35"/>
  <c r="A185" i="35"/>
  <c r="A186" i="35"/>
  <c r="A187" i="35"/>
  <c r="A188" i="35"/>
  <c r="A189" i="35"/>
  <c r="C181" i="35"/>
  <c r="C175" i="35"/>
  <c r="A190" i="35"/>
  <c r="A191" i="35"/>
  <c r="A192" i="35"/>
  <c r="A193" i="35"/>
  <c r="E193" i="35"/>
  <c r="A194" i="35"/>
  <c r="A195" i="35"/>
  <c r="A196" i="35"/>
  <c r="D198" i="35"/>
  <c r="A197" i="35"/>
  <c r="A198" i="35"/>
  <c r="A199" i="35"/>
  <c r="C113" i="35"/>
  <c r="C199" i="35"/>
  <c r="C107" i="35"/>
  <c r="E85" i="35"/>
  <c r="J44" i="24"/>
  <c r="J38" i="37"/>
  <c r="J42" i="37"/>
  <c r="M37" i="37"/>
  <c r="L37" i="37"/>
  <c r="L38" i="37"/>
  <c r="L42" i="37"/>
  <c r="I36" i="37"/>
  <c r="I37" i="37"/>
  <c r="G36" i="37"/>
  <c r="J36" i="37"/>
  <c r="J37" i="37"/>
  <c r="H35" i="37"/>
  <c r="F32" i="37"/>
  <c r="F36" i="37"/>
  <c r="N36" i="37"/>
  <c r="F37" i="37"/>
  <c r="H36" i="37"/>
  <c r="F35" i="37"/>
  <c r="O35" i="37"/>
  <c r="N35" i="37"/>
  <c r="K35" i="37"/>
  <c r="G35" i="37"/>
  <c r="E46" i="35"/>
  <c r="E56" i="37"/>
  <c r="M36" i="37"/>
  <c r="F38" i="37"/>
  <c r="Q36" i="37"/>
  <c r="R26" i="37"/>
  <c r="E26" i="35"/>
  <c r="J154" i="35"/>
  <c r="N53" i="31"/>
  <c r="G56" i="37"/>
  <c r="A20" i="37"/>
  <c r="E49" i="35"/>
  <c r="R41" i="37"/>
  <c r="A21" i="37"/>
  <c r="A22" i="37"/>
  <c r="A23" i="37"/>
  <c r="A24" i="37"/>
  <c r="A25" i="37"/>
  <c r="D22" i="37"/>
  <c r="D35" i="37"/>
  <c r="A26" i="37"/>
  <c r="D36" i="37"/>
  <c r="A27" i="37"/>
  <c r="D37" i="37"/>
  <c r="A28" i="37"/>
  <c r="A29" i="37"/>
  <c r="D38" i="37"/>
  <c r="A30" i="37"/>
  <c r="D39" i="37"/>
  <c r="A31" i="37"/>
  <c r="D40" i="37"/>
  <c r="A32" i="37"/>
  <c r="A33" i="37"/>
  <c r="A34" i="37"/>
  <c r="A35" i="37"/>
  <c r="D41" i="37"/>
  <c r="D32" i="37"/>
  <c r="A36" i="37"/>
  <c r="A37" i="37"/>
  <c r="A38" i="37"/>
  <c r="A39" i="37"/>
  <c r="A40" i="37"/>
  <c r="A41" i="37"/>
  <c r="A42" i="37"/>
  <c r="A48" i="37"/>
  <c r="A49" i="37"/>
  <c r="A50" i="37"/>
  <c r="D42" i="37"/>
  <c r="A51" i="37"/>
  <c r="A52" i="37"/>
  <c r="A53" i="37"/>
  <c r="A54" i="37"/>
  <c r="A55" i="37"/>
  <c r="A56" i="37"/>
  <c r="A57" i="37"/>
  <c r="A58" i="37"/>
  <c r="A59" i="37"/>
  <c r="A60" i="37"/>
  <c r="A61" i="37"/>
  <c r="D56" i="37"/>
  <c r="A62" i="37"/>
  <c r="A63" i="37"/>
  <c r="A64" i="37"/>
  <c r="A65" i="37"/>
  <c r="D65" i="37"/>
  <c r="D31" i="3"/>
  <c r="D33" i="3"/>
  <c r="D32" i="3"/>
  <c r="D34" i="3"/>
  <c r="G22" i="41"/>
  <c r="E45" i="41"/>
  <c r="G23" i="41"/>
  <c r="G24" i="41"/>
  <c r="J199" i="35"/>
  <c r="E106" i="35"/>
  <c r="R25" i="37"/>
  <c r="I32" i="37"/>
  <c r="P32" i="37"/>
  <c r="F42" i="37"/>
  <c r="E25" i="35"/>
  <c r="J32" i="37"/>
  <c r="H32" i="37"/>
  <c r="J35" i="37"/>
  <c r="M32" i="37"/>
  <c r="R27" i="37"/>
  <c r="L32" i="37"/>
  <c r="I35" i="37"/>
  <c r="J156" i="35"/>
  <c r="J158" i="35"/>
  <c r="J161" i="35"/>
  <c r="H26" i="35"/>
  <c r="J26" i="35"/>
  <c r="J159" i="35"/>
  <c r="J31" i="35"/>
  <c r="J41" i="35"/>
  <c r="E56" i="35"/>
  <c r="E27" i="35"/>
  <c r="J164" i="35"/>
  <c r="J165" i="35"/>
  <c r="J168" i="35"/>
  <c r="R28" i="37"/>
  <c r="E28" i="35"/>
  <c r="G38" i="37"/>
  <c r="G42" i="37"/>
  <c r="G32" i="37"/>
  <c r="N32" i="37"/>
  <c r="E57" i="35"/>
  <c r="E51" i="35"/>
  <c r="E60" i="35"/>
  <c r="R16" i="37"/>
  <c r="R36" i="37"/>
  <c r="E16" i="35"/>
  <c r="E36" i="35"/>
  <c r="O22" i="37"/>
  <c r="R20" i="37"/>
  <c r="E20" i="35"/>
  <c r="R15" i="37"/>
  <c r="R35" i="37"/>
  <c r="P36" i="37"/>
  <c r="P42" i="37"/>
  <c r="P22" i="37"/>
  <c r="O42" i="37"/>
  <c r="R19" i="37"/>
  <c r="Q35" i="37"/>
  <c r="Q42" i="37"/>
  <c r="R18" i="37"/>
  <c r="R17" i="37"/>
  <c r="E15" i="35"/>
  <c r="E88" i="35"/>
  <c r="J135" i="35"/>
  <c r="E17" i="35"/>
  <c r="R37" i="37"/>
  <c r="E35" i="35"/>
  <c r="E19" i="35"/>
  <c r="E39" i="35"/>
  <c r="R39" i="37"/>
  <c r="E18" i="35"/>
  <c r="R38" i="37"/>
  <c r="R22" i="37"/>
  <c r="J141" i="35"/>
  <c r="J138" i="35"/>
  <c r="J140" i="35"/>
  <c r="J143" i="35"/>
  <c r="E179" i="35"/>
  <c r="J146" i="35"/>
  <c r="E37" i="35"/>
  <c r="E22" i="35"/>
  <c r="E89" i="35"/>
  <c r="E91" i="35"/>
  <c r="E115" i="35"/>
  <c r="E38" i="35"/>
  <c r="H16" i="35"/>
  <c r="J16" i="35"/>
  <c r="J36" i="35"/>
  <c r="H88" i="35"/>
  <c r="J88" i="35"/>
  <c r="F172" i="35"/>
  <c r="H172" i="35"/>
  <c r="H175" i="35"/>
  <c r="J175" i="35"/>
  <c r="G179" i="35"/>
  <c r="H76" i="35"/>
  <c r="H58" i="35"/>
  <c r="J58" i="35"/>
  <c r="J151" i="35"/>
  <c r="E180" i="35"/>
  <c r="E181" i="35"/>
  <c r="J147" i="35"/>
  <c r="H77" i="35"/>
  <c r="J77" i="35"/>
  <c r="H83" i="35"/>
  <c r="J83" i="35"/>
  <c r="J76" i="35"/>
  <c r="H95" i="35"/>
  <c r="H18" i="35"/>
  <c r="F179" i="35"/>
  <c r="F180" i="35"/>
  <c r="H96" i="35"/>
  <c r="J96" i="35"/>
  <c r="J95" i="35"/>
  <c r="H28" i="35"/>
  <c r="J18" i="35"/>
  <c r="H19" i="35"/>
  <c r="J19" i="35"/>
  <c r="F181" i="35"/>
  <c r="H179" i="35"/>
  <c r="J181" i="35"/>
  <c r="H78" i="35"/>
  <c r="J28" i="35"/>
  <c r="J38" i="35"/>
  <c r="H29" i="35"/>
  <c r="J29" i="35"/>
  <c r="J39" i="35"/>
  <c r="H57" i="35"/>
  <c r="J57" i="35"/>
  <c r="H20" i="35"/>
  <c r="H80" i="35"/>
  <c r="H82" i="35"/>
  <c r="J82" i="35"/>
  <c r="J78" i="35"/>
  <c r="H89" i="35"/>
  <c r="J89" i="35"/>
  <c r="J91" i="35"/>
  <c r="H30" i="35"/>
  <c r="J20" i="35"/>
  <c r="J80" i="35"/>
  <c r="H81" i="35"/>
  <c r="J81" i="35"/>
  <c r="J22" i="35"/>
  <c r="H22" i="35"/>
  <c r="J85" i="35"/>
  <c r="J56" i="35"/>
  <c r="H98" i="35"/>
  <c r="H59" i="35"/>
  <c r="J59" i="35"/>
  <c r="J60" i="35"/>
  <c r="H100" i="35"/>
  <c r="J100" i="35"/>
  <c r="J98" i="35"/>
  <c r="J101" i="35"/>
  <c r="F15" i="41"/>
  <c r="G15" i="41"/>
  <c r="E30" i="35"/>
  <c r="R40" i="37"/>
  <c r="R42" i="37"/>
  <c r="E32" i="35"/>
  <c r="E42" i="35"/>
  <c r="E40" i="35"/>
  <c r="J30" i="35"/>
  <c r="J40" i="35"/>
  <c r="J42" i="35"/>
  <c r="H42" i="35"/>
  <c r="J32" i="35"/>
  <c r="H47" i="35"/>
  <c r="H46" i="35"/>
  <c r="J46" i="35"/>
  <c r="H48" i="35"/>
  <c r="J48" i="35"/>
  <c r="H49" i="35"/>
  <c r="J47" i="35"/>
  <c r="J49" i="35"/>
  <c r="H50" i="35"/>
  <c r="J50" i="35"/>
  <c r="J51" i="35"/>
  <c r="J62" i="35"/>
  <c r="J112" i="35"/>
  <c r="J110" i="35"/>
  <c r="J115" i="35"/>
  <c r="J119" i="35"/>
  <c r="M52" i="31"/>
  <c r="M54" i="31"/>
  <c r="D22" i="41"/>
  <c r="D25" i="41"/>
  <c r="E42" i="41"/>
  <c r="G12" i="41"/>
  <c r="H12" i="41"/>
  <c r="E22" i="41"/>
  <c r="F22" i="41"/>
  <c r="G13" i="41"/>
  <c r="H13" i="41"/>
  <c r="E23" i="41"/>
  <c r="F23" i="41"/>
  <c r="H23" i="41"/>
  <c r="G14" i="41"/>
  <c r="H14" i="41"/>
  <c r="E24" i="41"/>
  <c r="F24" i="41"/>
  <c r="H24" i="41"/>
  <c r="H15" i="41"/>
  <c r="E25" i="41"/>
  <c r="E43" i="41"/>
  <c r="F25" i="41"/>
  <c r="E44" i="41"/>
  <c r="E46" i="41"/>
  <c r="H22" i="41"/>
  <c r="H25" i="41"/>
  <c r="F28" i="41"/>
  <c r="F30" i="41"/>
  <c r="F29" i="41"/>
  <c r="F32" i="41"/>
  <c r="F34" i="41"/>
  <c r="F31" i="41"/>
  <c r="F33" i="41"/>
</calcChain>
</file>

<file path=xl/comments1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>
  <authors>
    <author>Hoffman, Cody</author>
  </authors>
  <commentList>
    <comment ref="J50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Inlcudes Regulatory Liability Account 254-015</t>
        </r>
      </text>
    </comment>
  </commentList>
</comments>
</file>

<file path=xl/comments3.xml><?xml version="1.0" encoding="utf-8"?>
<comments xmlns="http://schemas.openxmlformats.org/spreadsheetml/2006/main">
  <authors>
    <author>Hoffman, Cody</author>
    <author>Lever, Henry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  <comment ref="E69" authorId="1" shapeId="0">
      <text>
        <r>
          <rPr>
            <b/>
            <sz val="9"/>
            <color indexed="81"/>
            <rFont val="Tahoma"/>
            <family val="2"/>
          </rPr>
          <t>Lever, Henry:</t>
        </r>
        <r>
          <rPr>
            <sz val="9"/>
            <color indexed="81"/>
            <rFont val="Tahoma"/>
            <family val="2"/>
          </rPr>
          <t xml:space="preserve">
Prior Year WP for Dec 2020 Amount was 663,360,946.58
</t>
        </r>
      </text>
    </comment>
  </commentList>
</comments>
</file>

<file path=xl/comments4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<sst xmlns="http://schemas.openxmlformats.org/spreadsheetml/2006/main" count="837" uniqueCount="466">
  <si>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</si>
  <si>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</si>
  <si>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</si>
  <si>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</si>
  <si>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</si>
  <si>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</si>
  <si>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</si>
  <si>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</si>
  <si>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</si>
  <si>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</si>
  <si>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</si>
  <si>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</si>
  <si>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</si>
  <si>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</si>
  <si>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</si>
  <si>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</si>
  <si>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</si>
  <si>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</si>
  <si>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</si>
  <si>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</si>
  <si>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</si>
  <si>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</si>
  <si>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</si>
  <si>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</si>
  <si>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</si>
  <si>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</si>
  <si>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</si>
  <si>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</si>
  <si>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</si>
  <si>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</si>
  <si>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</si>
  <si>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</si>
  <si>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</si>
  <si>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</si>
  <si>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</si>
  <si>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</si>
  <si>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</si>
  <si>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</si>
  <si>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</si>
  <si>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</si>
  <si>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</si>
  <si>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</si>
  <si>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</si>
  <si>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</si>
  <si>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</si>
  <si>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</si>
  <si>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</si>
  <si>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</si>
  <si>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</si>
  <si>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</si>
  <si>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</si>
  <si>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</si>
  <si>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</si>
  <si>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</si>
  <si>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</si>
  <si>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</si>
  <si>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</si>
  <si>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</si>
  <si>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</si>
  <si>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</si>
  <si>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</si>
  <si>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</si>
  <si>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</si>
  <si>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</si>
  <si>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</si>
  <si>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</si>
  <si>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</si>
  <si>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</si>
  <si>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</si>
  <si>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</si>
  <si>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</si>
  <si>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</si>
  <si>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</si>
  <si>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</si>
  <si>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</si>
  <si>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</si>
  <si>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</si>
  <si>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</si>
  <si>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</si>
  <si>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</si>
  <si>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</si>
  <si>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</si>
  <si>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</si>
  <si>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</si>
  <si>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</si>
  <si>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</si>
  <si>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</si>
  <si>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</si>
  <si>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</si>
  <si>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</si>
  <si>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</si>
  <si>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</si>
  <si>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</si>
  <si>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</si>
  <si>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</si>
  <si>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</si>
  <si>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</si>
  <si>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</si>
  <si>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</si>
  <si>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</si>
  <si>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</si>
  <si>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</si>
  <si>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</si>
  <si>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</si>
  <si>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</si>
  <si>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</si>
  <si>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</si>
  <si>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</si>
  <si>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</si>
  <si>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</si>
  <si>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</si>
  <si>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</si>
  <si>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</si>
  <si>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</si>
  <si>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</si>
  <si>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</si>
  <si>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</si>
  <si>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</si>
  <si>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</si>
  <si>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</si>
  <si>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</si>
  <si>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</si>
  <si>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</si>
  <si>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</si>
  <si>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</si>
  <si>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</si>
  <si>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</si>
  <si>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</si>
  <si>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</si>
  <si>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</si>
  <si>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</si>
  <si>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</si>
  <si>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</si>
  <si>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</si>
  <si>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</si>
  <si>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</si>
  <si>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</si>
  <si>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</si>
  <si>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</si>
  <si>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</si>
  <si>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</si>
  <si>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</si>
  <si>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</si>
  <si>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</si>
  <si>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</si>
  <si>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</si>
  <si>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</si>
  <si>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</si>
  <si>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</si>
  <si>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</si>
  <si>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</si>
  <si>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</si>
  <si>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</si>
  <si>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</si>
  <si>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</si>
  <si>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</si>
  <si>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</si>
  <si>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</si>
  <si>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</si>
  <si>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</si>
  <si>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</si>
  <si>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</si>
  <si>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</si>
  <si>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</si>
  <si>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</si>
  <si>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</si>
  <si>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</si>
  <si>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</si>
  <si>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</si>
  <si>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</si>
  <si>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</si>
  <si>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</si>
  <si>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</si>
  <si>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</si>
  <si>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</si>
  <si>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</si>
  <si>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</si>
  <si>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</si>
  <si>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</si>
  <si>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</si>
  <si>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</si>
  <si>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</si>
  <si>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</si>
  <si>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</si>
  <si>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</si>
  <si>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</si>
  <si>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</si>
  <si>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</si>
  <si>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</si>
  <si>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</si>
  <si>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</si>
  <si>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</si>
  <si>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</si>
  <si>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</si>
  <si>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</si>
  <si>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</si>
  <si>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</si>
  <si>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</si>
  <si>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</si>
  <si>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</si>
  <si>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</si>
  <si>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</si>
  <si>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</si>
  <si>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</si>
  <si>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</si>
  <si>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</si>
  <si>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</si>
  <si>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</si>
  <si>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</si>
  <si>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</si>
  <si>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</si>
  <si>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</si>
  <si>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</si>
  <si>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</si>
  <si>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</si>
  <si>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</si>
  <si>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</si>
  <si>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</si>
  <si>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</si>
  <si>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</si>
  <si>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</si>
  <si>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</si>
  <si>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</si>
  <si>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</si>
  <si>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</si>
  <si>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</si>
  <si>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</si>
  <si>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</si>
  <si>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</si>
  <si>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</si>
  <si>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</si>
  <si>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</si>
  <si>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</si>
  <si>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</si>
  <si>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</si>
  <si>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</si>
  <si>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</si>
  <si>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</si>
  <si>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</si>
  <si>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</si>
  <si>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</si>
  <si>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</si>
  <si>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</si>
  <si>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</si>
  <si>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</si>
  <si>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</si>
  <si>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</si>
  <si>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</si>
  <si>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</si>
  <si>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</si>
  <si>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</si>
  <si>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</si>
  <si>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</si>
  <si>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</si>
  <si>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</si>
  <si>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</si>
  <si>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</si>
  <si>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</si>
  <si>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</si>
  <si>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</si>
  <si>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</si>
  <si>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</si>
  <si>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</si>
  <si>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</si>
  <si>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</si>
  <si>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</si>
  <si>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</si>
  <si>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</si>
  <si>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</si>
  <si>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</si>
  <si>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</si>
  <si>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</si>
  <si>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</si>
  <si>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</si>
  <si>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</si>
  <si>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</si>
  <si>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</si>
  <si>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</si>
  <si>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</si>
  <si>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</si>
  <si>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</si>
  <si>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</si>
  <si>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</si>
  <si>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</si>
  <si>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</si>
  <si>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</si>
  <si>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</si>
  <si>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</si>
  <si>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</si>
  <si>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</si>
  <si>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</si>
  <si>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</si>
  <si>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</si>
  <si>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</si>
  <si>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</si>
  <si>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</si>
  <si>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</si>
  <si>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</si>
  <si>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</si>
  <si>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</si>
  <si>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</si>
  <si>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</si>
  <si>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</si>
  <si>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</si>
  <si>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</si>
  <si>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</si>
  <si>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</si>
  <si>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</si>
  <si>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</si>
  <si>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</si>
  <si>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</si>
  <si>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</si>
  <si>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</si>
  <si>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</si>
  <si>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</si>
  <si>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</si>
  <si>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</si>
  <si>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</si>
  <si>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</si>
  <si>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</si>
  <si>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</si>
  <si>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</si>
  <si>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</si>
  <si>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</si>
  <si>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</si>
  <si>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</si>
  <si>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</si>
  <si>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</si>
  <si>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</si>
  <si>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</si>
  <si>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</si>
  <si>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</si>
  <si>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</si>
  <si>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</si>
  <si>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</si>
  <si>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</si>
  <si>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</si>
  <si>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</si>
  <si>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</si>
  <si>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</si>
  <si>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</si>
  <si>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</si>
  <si>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</si>
  <si>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</si>
  <si>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</si>
  <si>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</si>
  <si>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</si>
  <si>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</si>
  <si>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</si>
  <si>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</si>
  <si>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</si>
  <si>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</si>
  <si>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</si>
  <si>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</si>
  <si>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</si>
  <si>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</si>
  <si>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</si>
  <si>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</si>
  <si>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</si>
  <si>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</si>
  <si>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</si>
  <si>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</si>
  <si>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</si>
  <si>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</si>
  <si>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</si>
  <si>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</si>
  <si>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</si>
  <si>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</si>
  <si>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</si>
  <si>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</si>
  <si>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</si>
  <si>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</si>
  <si>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</si>
  <si>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</si>
  <si>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</si>
  <si>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</si>
  <si>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</si>
  <si>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</si>
  <si>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</si>
  <si>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</si>
  <si>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</si>
  <si>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</si>
  <si>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</si>
  <si>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</si>
  <si>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</si>
  <si>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</si>
  <si>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</si>
  <si>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</si>
  <si>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</si>
  <si>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</si>
  <si>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</si>
  <si>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</si>
  <si>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</si>
  <si>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</si>
  <si>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</si>
  <si>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</si>
  <si>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</si>
  <si>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</si>
  <si>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</si>
  <si>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</si>
  <si>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</si>
  <si>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</si>
  <si>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</si>
  <si>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</si>
  <si>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</si>
  <si>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</si>
  <si>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</si>
  <si>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</si>
  <si>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</si>
  <si>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</si>
  <si>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</si>
  <si>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</si>
  <si>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</si>
  <si>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</si>
  <si>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</si>
  <si>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</si>
  <si>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</si>
  <si>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</si>
  <si>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</si>
  <si>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</si>
  <si>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</si>
  <si>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</si>
  <si>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</si>
  <si>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</si>
  <si>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</si>
  <si>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</si>
  <si>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</si>
  <si>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</si>
  <si>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</si>
  <si>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</si>
  <si>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</si>
  <si>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</si>
  <si>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</si>
  <si>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</si>
  <si>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</si>
  <si>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</si>
  <si>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</si>
  <si>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</si>
  <si>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</si>
  <si>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</si>
  <si>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</si>
  <si>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</si>
  <si>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</si>
  <si>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</si>
  <si>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</si>
  <si>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</si>
  <si>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</si>
  <si>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</si>
  <si>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</si>
  <si>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From PP Less RWIP</t>
  </si>
  <si>
    <t>HP Removal</t>
  </si>
  <si>
    <t>Adjust Accum to FERC Accum</t>
  </si>
  <si>
    <t>Total RWIP to Adjust</t>
  </si>
  <si>
    <t>RWIP</t>
  </si>
  <si>
    <t>Accrued Retirements</t>
  </si>
  <si>
    <r>
      <t>2021 Projected Load Data</t>
    </r>
    <r>
      <rPr>
        <b/>
        <vertAlign val="superscript"/>
        <sz val="12"/>
        <rFont val="Arial"/>
        <family val="2"/>
      </rPr>
      <t>2</t>
    </r>
  </si>
  <si>
    <r>
      <t>2021 Actual Load Data</t>
    </r>
    <r>
      <rPr>
        <b/>
        <vertAlign val="superscript"/>
        <sz val="12"/>
        <rFont val="Arial"/>
        <family val="2"/>
      </rPr>
      <t>1</t>
    </r>
  </si>
  <si>
    <t>O&amp;M - Acct 561 (2020)</t>
  </si>
  <si>
    <t>Actual Expenses (2021)</t>
  </si>
  <si>
    <t>207.96.g - line 6</t>
  </si>
  <si>
    <t>TRUE UP OF RATES FOR CALENDAR YEAR 2021</t>
  </si>
  <si>
    <t>Actual 2021 Load</t>
  </si>
  <si>
    <t>Date: May 31, 2022</t>
  </si>
  <si>
    <t>Effective August 1, 2022</t>
  </si>
  <si>
    <t>12/31/20 &amp; 12/31/21 average balance</t>
  </si>
  <si>
    <t>(See Workpaper 7 2021 Actual Load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</si>
</sst>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9" formatCode="_(&quot;$&quot;* #,##0.0000_);_(&quot;$&quot;* \(#,##0.0000\);_(&quot;$&quot;* &quot;-&quot;??_);_(@_)"/>
    <numFmt numFmtId="180" formatCode="_(&quot;$&quot;* #,##0.00000_);_(&quot;$&quot;* \(#,##0.00000\);_(&quot;$&quot;* &quot;-&quot;??_);_(@_)"/>
    <numFmt numFmtId="181" formatCode="mmm\-yyyy"/>
    <numFmt numFmtId="182" formatCode="0.0000%"/>
    <numFmt numFmtId="183" formatCode="#,##0.000000"/>
    <numFmt numFmtId="184" formatCode="[$-409]mmm\-yy;@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  <numFmt numFmtId="202" formatCode="[$-409]mmmm\ d\,\ yyyy;@"/>
  </numFmts>
  <fonts count="9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0"/>
      <color theme="1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4">
    <xf numFmtId="172" fontId="0" fillId="0" borderId="0" applyProtection="0"/>
    <xf numFmtId="0" fontId="6" fillId="0" borderId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37" fontId="37" fillId="0" borderId="0" applyFont="0" applyFill="0" applyBorder="0" applyAlignment="0" applyProtection="0"/>
    <xf numFmtId="0" fontId="6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38" fontId="48" fillId="0" borderId="0" applyBorder="0" applyAlignment="0"/>
    <xf numFmtId="185" fontId="43" fillId="20" borderId="1">
      <alignment horizontal="center" vertical="center"/>
    </xf>
    <xf numFmtId="186" fontId="6" fillId="0" borderId="2">
      <alignment horizontal="left"/>
    </xf>
    <xf numFmtId="0" fontId="49" fillId="0" borderId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50" fillId="0" borderId="0" applyNumberFormat="0" applyFill="0" applyBorder="0" applyAlignment="0" applyProtection="0"/>
    <xf numFmtId="187" fontId="51" fillId="0" borderId="3" applyNumberFormat="0" applyFill="0" applyAlignment="0" applyProtection="0">
      <alignment horizontal="center"/>
    </xf>
    <xf numFmtId="188" fontId="51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52" fillId="0" borderId="0" applyFill="0">
      <alignment vertical="top"/>
    </xf>
    <xf numFmtId="0" fontId="53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52" fillId="0" borderId="0" applyFill="0">
      <alignment wrapText="1"/>
    </xf>
    <xf numFmtId="0" fontId="53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5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6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59" fillId="0" borderId="0" applyFill="0">
      <alignment horizontal="center" vertical="center" wrapText="1"/>
    </xf>
    <xf numFmtId="0" fontId="60" fillId="0" borderId="0" applyFill="0">
      <alignment horizontal="center" vertical="center" wrapText="1"/>
    </xf>
    <xf numFmtId="37" fontId="58" fillId="0" borderId="0" applyFill="0">
      <alignment horizontal="right"/>
    </xf>
    <xf numFmtId="0" fontId="54" fillId="0" borderId="0" applyNumberFormat="0" applyFont="0" applyAlignment="0">
      <alignment horizontal="center"/>
    </xf>
    <xf numFmtId="0" fontId="61" fillId="0" borderId="0">
      <alignment horizontal="center" wrapText="1"/>
    </xf>
    <xf numFmtId="0" fontId="62" fillId="0" borderId="0" applyFill="0">
      <alignment horizontal="center" wrapText="1"/>
    </xf>
    <xf numFmtId="0" fontId="26" fillId="21" borderId="7" applyNumberFormat="0" applyAlignment="0" applyProtection="0"/>
    <xf numFmtId="0" fontId="26" fillId="21" borderId="7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64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4" fillId="0" borderId="0" applyFont="0" applyFill="0" applyBorder="0" applyAlignment="0" applyProtection="0"/>
    <xf numFmtId="8" fontId="66" fillId="0" borderId="0" applyFont="0" applyFill="0" applyBorder="0" applyAlignment="0" applyProtection="0"/>
    <xf numFmtId="190" fontId="6" fillId="0" borderId="2">
      <alignment horizontal="center"/>
    </xf>
    <xf numFmtId="191" fontId="6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92" fontId="6" fillId="0" borderId="0">
      <protection locked="0"/>
    </xf>
    <xf numFmtId="0" fontId="66" fillId="0" borderId="0"/>
    <xf numFmtId="0" fontId="67" fillId="0" borderId="0"/>
    <xf numFmtId="0" fontId="68" fillId="0" borderId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38" fontId="10" fillId="23" borderId="0" applyNumberFormat="0" applyBorder="0" applyAlignment="0" applyProtection="0"/>
    <xf numFmtId="0" fontId="69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70" fillId="0" borderId="0">
      <alignment horizontal="center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6" fillId="0" borderId="0">
      <protection locked="0"/>
    </xf>
    <xf numFmtId="193" fontId="6" fillId="0" borderId="0">
      <protection locked="0"/>
    </xf>
    <xf numFmtId="0" fontId="71" fillId="0" borderId="14" applyNumberFormat="0" applyFill="0" applyAlignment="0" applyProtection="0"/>
    <xf numFmtId="0" fontId="33" fillId="7" borderId="7" applyNumberFormat="0" applyAlignment="0" applyProtection="0"/>
    <xf numFmtId="10" fontId="10" fillId="24" borderId="2" applyNumberFormat="0" applyBorder="0" applyAlignment="0" applyProtection="0"/>
    <xf numFmtId="0" fontId="33" fillId="7" borderId="7" applyNumberFormat="0" applyAlignment="0" applyProtection="0"/>
    <xf numFmtId="0" fontId="10" fillId="23" borderId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194" fontId="6" fillId="0" borderId="2">
      <alignment horizontal="center"/>
    </xf>
    <xf numFmtId="195" fontId="72" fillId="0" borderId="0"/>
    <xf numFmtId="17" fontId="73" fillId="0" borderId="0">
      <alignment horizontal="center"/>
    </xf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43" fontId="74" fillId="0" borderId="0" applyNumberFormat="0" applyFill="0" applyBorder="0" applyAlignment="0" applyProtection="0"/>
    <xf numFmtId="0" fontId="51" fillId="0" borderId="0" applyNumberFormat="0" applyFill="0" applyAlignment="0" applyProtection="0"/>
    <xf numFmtId="37" fontId="75" fillId="0" borderId="0"/>
    <xf numFmtId="198" fontId="76" fillId="0" borderId="0"/>
    <xf numFmtId="172" fontId="1" fillId="0" borderId="0" applyProtection="0"/>
    <xf numFmtId="0" fontId="6" fillId="0" borderId="0"/>
    <xf numFmtId="0" fontId="94" fillId="0" borderId="0"/>
    <xf numFmtId="0" fontId="64" fillId="0" borderId="0"/>
    <xf numFmtId="0" fontId="6" fillId="0" borderId="0"/>
    <xf numFmtId="0" fontId="91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9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8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6" fillId="21" borderId="17" applyNumberFormat="0" applyAlignment="0" applyProtection="0"/>
    <xf numFmtId="0" fontId="36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3">
      <alignment horizontal="center"/>
    </xf>
    <xf numFmtId="3" fontId="37" fillId="0" borderId="0" applyFont="0" applyFill="0" applyBorder="0" applyAlignment="0" applyProtection="0"/>
    <xf numFmtId="0" fontId="37" fillId="27" borderId="0" applyNumberFormat="0" applyFont="0" applyBorder="0" applyAlignment="0" applyProtection="0"/>
    <xf numFmtId="37" fontId="10" fillId="23" borderId="0" applyFill="0">
      <alignment horizontal="right"/>
    </xf>
    <xf numFmtId="0" fontId="58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7" fillId="0" borderId="0" applyFill="0"/>
    <xf numFmtId="0" fontId="10" fillId="0" borderId="0" applyFill="0">
      <alignment horizontal="left"/>
    </xf>
    <xf numFmtId="200" fontId="10" fillId="0" borderId="4" applyFill="0">
      <alignment horizontal="right"/>
    </xf>
    <xf numFmtId="0" fontId="6" fillId="0" borderId="0" applyNumberFormat="0" applyFont="0" applyBorder="0" applyAlignment="0"/>
    <xf numFmtId="0" fontId="55" fillId="0" borderId="0" applyFill="0">
      <alignment horizontal="left" indent="1"/>
    </xf>
    <xf numFmtId="0" fontId="58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5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8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7" fillId="0" borderId="0">
      <alignment horizontal="left" indent="4"/>
    </xf>
    <xf numFmtId="0" fontId="10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Border="0" applyAlignment="0"/>
    <xf numFmtId="0" fontId="59" fillId="0" borderId="0">
      <alignment horizontal="left" indent="5"/>
    </xf>
    <xf numFmtId="0" fontId="58" fillId="0" borderId="0" applyFill="0">
      <alignment horizontal="left"/>
    </xf>
    <xf numFmtId="37" fontId="58" fillId="0" borderId="0" applyFill="0">
      <alignment horizontal="right"/>
    </xf>
    <xf numFmtId="0" fontId="6" fillId="0" borderId="0" applyNumberFormat="0" applyFont="0" applyFill="0" applyBorder="0" applyAlignment="0"/>
    <xf numFmtId="0" fontId="61" fillId="0" borderId="0" applyFill="0">
      <alignment horizontal="left" indent="6"/>
    </xf>
    <xf numFmtId="0" fontId="58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9" fillId="0" borderId="0" applyNumberFormat="0" applyAlignment="0">
      <alignment horizontal="centerContinuous"/>
    </xf>
    <xf numFmtId="0" fontId="51" fillId="0" borderId="4" applyNumberFormat="0" applyFill="0" applyAlignment="0" applyProtection="0"/>
    <xf numFmtId="37" fontId="80" fillId="0" borderId="0" applyNumberFormat="0">
      <alignment horizontal="left"/>
    </xf>
    <xf numFmtId="201" fontId="6" fillId="0" borderId="2">
      <alignment horizontal="center" wrapText="1"/>
    </xf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81" fillId="0" borderId="0" applyNumberFormat="0">
      <alignment horizontal="left"/>
    </xf>
    <xf numFmtId="37" fontId="82" fillId="0" borderId="0" applyNumberFormat="0">
      <alignment horizontal="left"/>
    </xf>
    <xf numFmtId="37" fontId="83" fillId="0" borderId="0" applyNumberFormat="0">
      <alignment horizontal="left"/>
    </xf>
    <xf numFmtId="195" fontId="84" fillId="0" borderId="0"/>
    <xf numFmtId="40" fontId="8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6" fillId="0" borderId="14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28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72" applyFill="1"/>
    <xf numFmtId="173" fontId="6" fillId="0" borderId="0" xfId="105" applyNumberFormat="1" applyFont="1" applyFill="1"/>
    <xf numFmtId="0" fontId="6" fillId="0" borderId="0" xfId="171" applyFont="1" applyFill="1"/>
    <xf numFmtId="0" fontId="6" fillId="0" borderId="0" xfId="171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19" xfId="169" applyFill="1" applyBorder="1" applyAlignment="1">
      <alignment horizontal="center"/>
    </xf>
    <xf numFmtId="0" fontId="6" fillId="0" borderId="20" xfId="169" applyFill="1" applyBorder="1" applyAlignment="1">
      <alignment horizontal="center"/>
    </xf>
    <xf numFmtId="0" fontId="6" fillId="0" borderId="21" xfId="169" applyFill="1" applyBorder="1" applyAlignment="1">
      <alignment horizontal="center"/>
    </xf>
    <xf numFmtId="0" fontId="6" fillId="0" borderId="0" xfId="169" applyFill="1" applyBorder="1" applyAlignment="1">
      <alignment horizontal="center"/>
    </xf>
    <xf numFmtId="0" fontId="6" fillId="0" borderId="21" xfId="169" applyFont="1" applyFill="1" applyBorder="1" applyAlignment="1">
      <alignment horizontal="center"/>
    </xf>
    <xf numFmtId="0" fontId="6" fillId="0" borderId="22" xfId="169" applyFill="1" applyBorder="1" applyAlignment="1">
      <alignment horizontal="center"/>
    </xf>
    <xf numFmtId="0" fontId="6" fillId="0" borderId="3" xfId="169" applyFill="1" applyBorder="1" applyAlignment="1">
      <alignment horizontal="center"/>
    </xf>
    <xf numFmtId="0" fontId="6" fillId="0" borderId="21" xfId="169" applyFill="1" applyBorder="1"/>
    <xf numFmtId="1" fontId="6" fillId="0" borderId="23" xfId="169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3" fillId="0" borderId="0" xfId="172" applyFont="1" applyFill="1" applyAlignment="1">
      <alignment horizontal="left"/>
    </xf>
    <xf numFmtId="0" fontId="6" fillId="0" borderId="19" xfId="169" applyFont="1" applyFill="1" applyBorder="1" applyAlignment="1">
      <alignment horizontal="center"/>
    </xf>
    <xf numFmtId="0" fontId="6" fillId="0" borderId="22" xfId="169" applyFont="1" applyFill="1" applyBorder="1" applyAlignment="1">
      <alignment horizontal="center"/>
    </xf>
    <xf numFmtId="0" fontId="6" fillId="0" borderId="21" xfId="169" quotePrefix="1" applyFont="1" applyFill="1" applyBorder="1" applyAlignment="1">
      <alignment horizontal="left"/>
    </xf>
    <xf numFmtId="0" fontId="6" fillId="0" borderId="20" xfId="169" applyFill="1" applyBorder="1"/>
    <xf numFmtId="0" fontId="6" fillId="0" borderId="0" xfId="169" applyFill="1" applyBorder="1"/>
    <xf numFmtId="0" fontId="6" fillId="0" borderId="22" xfId="169" quotePrefix="1" applyFont="1" applyFill="1" applyBorder="1" applyAlignment="1">
      <alignment horizontal="left"/>
    </xf>
    <xf numFmtId="0" fontId="6" fillId="0" borderId="3" xfId="169" applyFill="1" applyBorder="1"/>
    <xf numFmtId="0" fontId="18" fillId="0" borderId="0" xfId="170" applyFont="1" applyFill="1" applyAlignment="1">
      <alignment horizontal="center"/>
    </xf>
    <xf numFmtId="0" fontId="6" fillId="0" borderId="0" xfId="169" applyFont="1" applyFill="1" applyAlignment="1">
      <alignment horizontal="left"/>
    </xf>
    <xf numFmtId="0" fontId="6" fillId="0" borderId="0" xfId="169" applyFill="1"/>
    <xf numFmtId="0" fontId="6" fillId="0" borderId="0" xfId="169" applyFill="1" applyAlignment="1">
      <alignment horizontal="left"/>
    </xf>
    <xf numFmtId="172" fontId="18" fillId="0" borderId="0" xfId="0" applyFont="1" applyFill="1" applyAlignment="1"/>
    <xf numFmtId="0" fontId="10" fillId="0" borderId="0" xfId="174" applyFont="1" applyFill="1"/>
    <xf numFmtId="172" fontId="18" fillId="0" borderId="0" xfId="0" applyFont="1" applyFill="1"/>
    <xf numFmtId="172" fontId="16" fillId="0" borderId="0" xfId="0" applyFont="1" applyFill="1" applyAlignment="1">
      <alignment horizontal="center"/>
    </xf>
    <xf numFmtId="0" fontId="10" fillId="0" borderId="0" xfId="174" applyFont="1" applyFill="1" applyAlignment="1">
      <alignment horizontal="center"/>
    </xf>
    <xf numFmtId="164" fontId="10" fillId="0" borderId="0" xfId="174" applyNumberFormat="1" applyFont="1" applyFill="1"/>
    <xf numFmtId="0" fontId="13" fillId="0" borderId="0" xfId="174" applyFont="1" applyFill="1"/>
    <xf numFmtId="0" fontId="16" fillId="0" borderId="0" xfId="174" applyFont="1" applyFill="1"/>
    <xf numFmtId="6" fontId="10" fillId="0" borderId="24" xfId="174" applyNumberFormat="1" applyFont="1" applyFill="1" applyBorder="1"/>
    <xf numFmtId="6" fontId="13" fillId="0" borderId="24" xfId="174" applyNumberFormat="1" applyFont="1" applyFill="1" applyBorder="1"/>
    <xf numFmtId="0" fontId="15" fillId="0" borderId="0" xfId="174" applyFont="1" applyFill="1"/>
    <xf numFmtId="0" fontId="6" fillId="0" borderId="0" xfId="172" applyFont="1" applyFill="1"/>
    <xf numFmtId="0" fontId="12" fillId="0" borderId="0" xfId="174" applyFont="1" applyFill="1"/>
    <xf numFmtId="173" fontId="16" fillId="0" borderId="0" xfId="105" applyNumberFormat="1" applyFont="1" applyFill="1"/>
    <xf numFmtId="6" fontId="10" fillId="0" borderId="0" xfId="174" applyNumberFormat="1" applyFont="1" applyFill="1" applyBorder="1"/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0" fontId="10" fillId="0" borderId="0" xfId="174" quotePrefix="1" applyFont="1" applyFill="1" applyAlignment="1">
      <alignment horizontal="left"/>
    </xf>
    <xf numFmtId="3" fontId="14" fillId="0" borderId="0" xfId="174" applyNumberFormat="1" applyFont="1" applyFill="1"/>
    <xf numFmtId="0" fontId="10" fillId="0" borderId="0" xfId="174" applyFont="1" applyFill="1" applyAlignment="1">
      <alignment horizontal="right"/>
    </xf>
    <xf numFmtId="177" fontId="14" fillId="0" borderId="0" xfId="112" applyNumberFormat="1" applyFont="1" applyFill="1" applyAlignment="1">
      <alignment horizontal="right"/>
    </xf>
    <xf numFmtId="174" fontId="47" fillId="0" borderId="0" xfId="171" applyNumberFormat="1" applyFont="1" applyFill="1"/>
    <xf numFmtId="0" fontId="18" fillId="0" borderId="0" xfId="0" applyNumberFormat="1" applyFont="1" applyFill="1" applyAlignment="1">
      <alignment horizontal="center"/>
    </xf>
    <xf numFmtId="172" fontId="18" fillId="0" borderId="0" xfId="0" applyFont="1" applyFill="1" applyAlignment="1">
      <alignment horizontal="right"/>
    </xf>
    <xf numFmtId="172" fontId="42" fillId="0" borderId="0" xfId="0" applyFont="1" applyFill="1" applyAlignment="1"/>
    <xf numFmtId="0" fontId="18" fillId="0" borderId="0" xfId="170" applyFont="1" applyFill="1" applyAlignment="1">
      <alignment horizontal="left"/>
    </xf>
    <xf numFmtId="172" fontId="14" fillId="0" borderId="0" xfId="0" applyFont="1" applyFill="1" applyAlignment="1"/>
    <xf numFmtId="0" fontId="18" fillId="0" borderId="0" xfId="170" applyFont="1" applyFill="1"/>
    <xf numFmtId="16" fontId="18" fillId="0" borderId="0" xfId="170" applyNumberFormat="1" applyFont="1" applyFill="1" applyAlignment="1">
      <alignment horizontal="center"/>
    </xf>
    <xf numFmtId="172" fontId="6" fillId="0" borderId="0" xfId="0" applyFont="1" applyFill="1" applyAlignment="1"/>
    <xf numFmtId="0" fontId="6" fillId="0" borderId="0" xfId="170" applyFont="1" applyFill="1" applyAlignment="1">
      <alignment horizontal="left"/>
    </xf>
    <xf numFmtId="0" fontId="6" fillId="0" borderId="3" xfId="171" applyFont="1" applyFill="1" applyBorder="1" applyAlignment="1">
      <alignment horizontal="center" wrapText="1"/>
    </xf>
    <xf numFmtId="43" fontId="6" fillId="0" borderId="0" xfId="171" applyNumberFormat="1" applyFont="1" applyFill="1"/>
    <xf numFmtId="173" fontId="6" fillId="0" borderId="0" xfId="171" applyNumberFormat="1" applyFont="1" applyFill="1"/>
    <xf numFmtId="173" fontId="6" fillId="0" borderId="3" xfId="171" applyNumberFormat="1" applyFont="1" applyFill="1" applyBorder="1"/>
    <xf numFmtId="43" fontId="6" fillId="0" borderId="3" xfId="171" applyNumberFormat="1" applyFont="1" applyFill="1" applyBorder="1"/>
    <xf numFmtId="1" fontId="6" fillId="0" borderId="0" xfId="169" applyNumberFormat="1" applyFill="1" applyBorder="1" applyAlignment="1">
      <alignment horizontal="center"/>
    </xf>
    <xf numFmtId="43" fontId="14" fillId="0" borderId="0" xfId="105" applyFont="1" applyFill="1" applyAlignment="1"/>
    <xf numFmtId="3" fontId="46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172" fontId="0" fillId="0" borderId="0" xfId="0" applyFill="1" applyAlignment="1"/>
    <xf numFmtId="1" fontId="6" fillId="0" borderId="19" xfId="169" applyNumberFormat="1" applyFill="1" applyBorder="1" applyAlignment="1">
      <alignment horizontal="center"/>
    </xf>
    <xf numFmtId="1" fontId="6" fillId="0" borderId="21" xfId="169" applyNumberFormat="1" applyFill="1" applyBorder="1" applyAlignment="1">
      <alignment horizontal="center"/>
    </xf>
    <xf numFmtId="1" fontId="6" fillId="0" borderId="22" xfId="169" applyNumberFormat="1" applyFill="1" applyBorder="1" applyAlignment="1">
      <alignment horizontal="center"/>
    </xf>
    <xf numFmtId="0" fontId="6" fillId="0" borderId="19" xfId="169" applyFill="1" applyBorder="1"/>
    <xf numFmtId="0" fontId="6" fillId="0" borderId="0" xfId="172" applyFill="1" applyAlignment="1">
      <alignment horizontal="center"/>
    </xf>
    <xf numFmtId="172" fontId="6" fillId="0" borderId="0" xfId="0" applyFont="1" applyFill="1" applyAlignment="1">
      <alignment horizontal="right"/>
    </xf>
    <xf numFmtId="0" fontId="6" fillId="0" borderId="0" xfId="170" applyFont="1" applyFill="1" applyAlignment="1">
      <alignment horizontal="center"/>
    </xf>
    <xf numFmtId="3" fontId="10" fillId="0" borderId="0" xfId="174" applyNumberFormat="1" applyFont="1" applyFill="1"/>
    <xf numFmtId="10" fontId="6" fillId="0" borderId="0" xfId="180" applyNumberFormat="1" applyFill="1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/>
    <xf numFmtId="10" fontId="3" fillId="0" borderId="0" xfId="180" applyNumberFormat="1" applyFont="1" applyFill="1" applyAlignment="1"/>
    <xf numFmtId="0" fontId="14" fillId="0" borderId="0" xfId="171" applyFont="1" applyFill="1"/>
    <xf numFmtId="176" fontId="6" fillId="0" borderId="0" xfId="171" applyNumberFormat="1" applyFill="1"/>
    <xf numFmtId="3" fontId="95" fillId="0" borderId="0" xfId="0" applyNumberFormat="1" applyFont="1" applyFill="1" applyAlignment="1">
      <alignment horizontal="center"/>
    </xf>
    <xf numFmtId="172" fontId="1" fillId="0" borderId="0" xfId="0" applyFont="1" applyFill="1" applyAlignment="1"/>
    <xf numFmtId="0" fontId="3" fillId="0" borderId="0" xfId="105" applyNumberFormat="1" applyFont="1" applyFill="1" applyAlignment="1"/>
    <xf numFmtId="3" fontId="3" fillId="0" borderId="10" xfId="0" applyNumberFormat="1" applyFont="1" applyFill="1" applyBorder="1" applyAlignment="1"/>
    <xf numFmtId="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/>
    <xf numFmtId="1" fontId="6" fillId="0" borderId="25" xfId="169" applyNumberFormat="1" applyFill="1" applyBorder="1" applyAlignment="1">
      <alignment horizontal="center"/>
    </xf>
    <xf numFmtId="0" fontId="6" fillId="0" borderId="0" xfId="171" applyFill="1" applyAlignment="1">
      <alignment horizontal="center"/>
    </xf>
    <xf numFmtId="0" fontId="6" fillId="0" borderId="0" xfId="171" applyFill="1" applyAlignment="1">
      <alignment horizontal="right"/>
    </xf>
    <xf numFmtId="0" fontId="14" fillId="0" borderId="0" xfId="171" applyFont="1" applyFill="1" applyAlignment="1">
      <alignment horizontal="center"/>
    </xf>
    <xf numFmtId="174" fontId="6" fillId="0" borderId="0" xfId="112" applyNumberFormat="1" applyFont="1" applyFill="1"/>
    <xf numFmtId="0" fontId="6" fillId="0" borderId="3" xfId="171" applyFill="1" applyBorder="1" applyAlignment="1">
      <alignment horizontal="center"/>
    </xf>
    <xf numFmtId="0" fontId="6" fillId="0" borderId="3" xfId="171" applyFill="1" applyBorder="1"/>
    <xf numFmtId="0" fontId="6" fillId="0" borderId="3" xfId="171" applyFont="1" applyFill="1" applyBorder="1" applyAlignment="1">
      <alignment horizontal="center"/>
    </xf>
    <xf numFmtId="0" fontId="6" fillId="0" borderId="0" xfId="171" applyFill="1" applyAlignment="1">
      <alignment horizontal="center" wrapText="1"/>
    </xf>
    <xf numFmtId="0" fontId="6" fillId="0" borderId="0" xfId="171" applyFont="1" applyFill="1" applyAlignment="1">
      <alignment horizontal="center"/>
    </xf>
    <xf numFmtId="0" fontId="6" fillId="0" borderId="0" xfId="171" applyFont="1" applyFill="1" applyAlignment="1">
      <alignment horizontal="center" wrapText="1"/>
    </xf>
    <xf numFmtId="44" fontId="6" fillId="0" borderId="0" xfId="112" applyNumberFormat="1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 applyFill="1"/>
    <xf numFmtId="9" fontId="6" fillId="0" borderId="0" xfId="180" applyFill="1"/>
    <xf numFmtId="44" fontId="6" fillId="0" borderId="0" xfId="171" applyNumberFormat="1" applyFill="1"/>
    <xf numFmtId="41" fontId="6" fillId="0" borderId="0" xfId="171" applyNumberFormat="1" applyFill="1"/>
    <xf numFmtId="0" fontId="6" fillId="0" borderId="3" xfId="171" applyFont="1" applyFill="1" applyBorder="1"/>
    <xf numFmtId="44" fontId="6" fillId="0" borderId="3" xfId="171" applyNumberFormat="1" applyFont="1" applyFill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 applyFont="1" applyFill="1"/>
    <xf numFmtId="0" fontId="6" fillId="0" borderId="3" xfId="171" applyFill="1" applyBorder="1" applyAlignment="1">
      <alignment horizontal="center" wrapText="1"/>
    </xf>
    <xf numFmtId="0" fontId="6" fillId="0" borderId="26" xfId="171" applyFill="1" applyBorder="1"/>
    <xf numFmtId="0" fontId="6" fillId="0" borderId="6" xfId="171" applyFill="1" applyBorder="1"/>
    <xf numFmtId="0" fontId="6" fillId="0" borderId="27" xfId="171" applyFill="1" applyBorder="1"/>
    <xf numFmtId="174" fontId="6" fillId="0" borderId="0" xfId="171" applyNumberFormat="1" applyFill="1"/>
    <xf numFmtId="175" fontId="17" fillId="0" borderId="0" xfId="171" applyNumberFormat="1" applyFont="1" applyFill="1"/>
    <xf numFmtId="0" fontId="6" fillId="0" borderId="28" xfId="171" applyFill="1" applyBorder="1"/>
    <xf numFmtId="0" fontId="6" fillId="0" borderId="0" xfId="171" applyFill="1" applyBorder="1"/>
    <xf numFmtId="0" fontId="6" fillId="0" borderId="29" xfId="171" applyFill="1" applyBorder="1"/>
    <xf numFmtId="174" fontId="6" fillId="0" borderId="3" xfId="171" applyNumberFormat="1" applyFill="1" applyBorder="1"/>
    <xf numFmtId="0" fontId="6" fillId="0" borderId="30" xfId="171" applyFill="1" applyBorder="1"/>
    <xf numFmtId="0" fontId="6" fillId="0" borderId="4" xfId="171" applyFill="1" applyBorder="1"/>
    <xf numFmtId="0" fontId="6" fillId="0" borderId="31" xfId="171" applyFill="1" applyBorder="1"/>
    <xf numFmtId="43" fontId="6" fillId="0" borderId="0" xfId="171" applyNumberFormat="1" applyFill="1"/>
    <xf numFmtId="173" fontId="6" fillId="0" borderId="0" xfId="171" applyNumberFormat="1" applyFill="1"/>
    <xf numFmtId="44" fontId="6" fillId="0" borderId="0" xfId="112" applyFill="1"/>
    <xf numFmtId="0" fontId="6" fillId="0" borderId="0" xfId="171" quotePrefix="1" applyFill="1"/>
    <xf numFmtId="179" fontId="6" fillId="0" borderId="0" xfId="112" applyNumberFormat="1" applyFill="1"/>
    <xf numFmtId="180" fontId="6" fillId="0" borderId="0" xfId="112" applyNumberFormat="1" applyFill="1"/>
    <xf numFmtId="0" fontId="6" fillId="0" borderId="0" xfId="174" applyFont="1" applyFill="1"/>
    <xf numFmtId="0" fontId="13" fillId="0" borderId="0" xfId="174" applyFont="1" applyFill="1" applyAlignment="1">
      <alignment horizontal="right"/>
    </xf>
    <xf numFmtId="0" fontId="14" fillId="0" borderId="0" xfId="174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10" fillId="0" borderId="0" xfId="174" applyFont="1" applyFill="1" applyBorder="1" applyAlignment="1">
      <alignment horizontal="center"/>
    </xf>
    <xf numFmtId="0" fontId="10" fillId="0" borderId="4" xfId="174" applyFont="1" applyFill="1" applyBorder="1" applyAlignment="1">
      <alignment horizontal="center"/>
    </xf>
    <xf numFmtId="0" fontId="8" fillId="0" borderId="0" xfId="174" applyFont="1" applyFill="1"/>
    <xf numFmtId="0" fontId="8" fillId="0" borderId="0" xfId="174" applyFont="1" applyFill="1" applyAlignment="1">
      <alignment horizontal="left"/>
    </xf>
    <xf numFmtId="0" fontId="5" fillId="0" borderId="0" xfId="174" applyFont="1" applyFill="1"/>
    <xf numFmtId="0" fontId="9" fillId="0" borderId="0" xfId="174" applyFont="1" applyFill="1"/>
    <xf numFmtId="0" fontId="11" fillId="0" borderId="0" xfId="174" applyFont="1" applyFill="1" applyAlignment="1">
      <alignment horizontal="center"/>
    </xf>
    <xf numFmtId="0" fontId="11" fillId="0" borderId="0" xfId="174" applyFont="1" applyFill="1"/>
    <xf numFmtId="0" fontId="10" fillId="0" borderId="0" xfId="173" applyFont="1" applyFill="1"/>
    <xf numFmtId="0" fontId="14" fillId="0" borderId="0" xfId="171" applyFont="1" applyFill="1" applyAlignment="1">
      <alignment horizontal="right"/>
    </xf>
    <xf numFmtId="172" fontId="18" fillId="0" borderId="0" xfId="0" applyFont="1" applyFill="1" applyAlignment="1">
      <alignment horizontal="center"/>
    </xf>
    <xf numFmtId="172" fontId="18" fillId="0" borderId="4" xfId="0" applyFont="1" applyFill="1" applyBorder="1" applyAlignment="1">
      <alignment horizontal="center"/>
    </xf>
    <xf numFmtId="0" fontId="6" fillId="0" borderId="32" xfId="169" applyFill="1" applyBorder="1" applyAlignment="1">
      <alignment horizontal="center"/>
    </xf>
    <xf numFmtId="0" fontId="6" fillId="0" borderId="33" xfId="169" applyFill="1" applyBorder="1" applyAlignment="1">
      <alignment horizontal="center"/>
    </xf>
    <xf numFmtId="0" fontId="6" fillId="0" borderId="34" xfId="169" applyFill="1" applyBorder="1" applyAlignment="1">
      <alignment horizontal="center"/>
    </xf>
    <xf numFmtId="0" fontId="6" fillId="0" borderId="33" xfId="169" applyFill="1" applyBorder="1"/>
    <xf numFmtId="0" fontId="6" fillId="0" borderId="25" xfId="169" applyFont="1" applyFill="1" applyBorder="1"/>
    <xf numFmtId="0" fontId="6" fillId="0" borderId="9" xfId="169" applyFill="1" applyBorder="1"/>
    <xf numFmtId="1" fontId="6" fillId="0" borderId="35" xfId="169" applyNumberFormat="1" applyFill="1" applyBorder="1" applyAlignment="1">
      <alignment horizontal="center"/>
    </xf>
    <xf numFmtId="1" fontId="6" fillId="0" borderId="9" xfId="169" applyNumberFormat="1" applyFill="1" applyBorder="1" applyAlignment="1">
      <alignment horizontal="center"/>
    </xf>
    <xf numFmtId="0" fontId="6" fillId="0" borderId="0" xfId="169" applyFont="1" applyFill="1"/>
    <xf numFmtId="10" fontId="6" fillId="0" borderId="0" xfId="169" applyNumberFormat="1" applyFill="1"/>
    <xf numFmtId="43" fontId="6" fillId="0" borderId="0" xfId="105" applyFill="1"/>
    <xf numFmtId="10" fontId="6" fillId="0" borderId="0" xfId="169" applyNumberFormat="1" applyFill="1" applyBorder="1" applyAlignment="1">
      <alignment horizontal="center"/>
    </xf>
    <xf numFmtId="0" fontId="6" fillId="0" borderId="0" xfId="169" applyFill="1" applyAlignment="1"/>
    <xf numFmtId="172" fontId="3" fillId="0" borderId="0" xfId="0" applyFont="1" applyFill="1" applyAlignment="1">
      <alignment horizontal="right"/>
    </xf>
    <xf numFmtId="172" fontId="1" fillId="0" borderId="0" xfId="0" applyFont="1" applyFill="1" applyAlignment="1">
      <alignment horizontal="right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172" fontId="22" fillId="0" borderId="0" xfId="0" applyFont="1" applyFill="1" applyAlignment="1"/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44" fontId="6" fillId="0" borderId="0" xfId="172" applyNumberFormat="1" applyFill="1"/>
    <xf numFmtId="0" fontId="6" fillId="0" borderId="0" xfId="172" applyFont="1" applyFill="1" applyAlignment="1">
      <alignment horizontal="center"/>
    </xf>
    <xf numFmtId="44" fontId="6" fillId="0" borderId="0" xfId="172" applyNumberFormat="1" applyFill="1" applyAlignment="1">
      <alignment horizontal="center"/>
    </xf>
    <xf numFmtId="0" fontId="6" fillId="0" borderId="4" xfId="172" applyFont="1" applyFill="1" applyBorder="1" applyAlignment="1">
      <alignment horizontal="center"/>
    </xf>
    <xf numFmtId="0" fontId="6" fillId="0" borderId="4" xfId="172" applyFont="1" applyFill="1" applyBorder="1"/>
    <xf numFmtId="44" fontId="6" fillId="0" borderId="4" xfId="172" applyNumberFormat="1" applyFont="1" applyFill="1" applyBorder="1" applyAlignment="1">
      <alignment horizontal="center"/>
    </xf>
    <xf numFmtId="0" fontId="14" fillId="0" borderId="0" xfId="172" applyFont="1" applyFill="1"/>
    <xf numFmtId="10" fontId="6" fillId="0" borderId="0" xfId="172" applyNumberFormat="1" applyFont="1" applyFill="1"/>
    <xf numFmtId="0" fontId="6" fillId="0" borderId="0" xfId="172" applyFont="1" applyFill="1" applyAlignment="1">
      <alignment horizontal="right"/>
    </xf>
    <xf numFmtId="202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173" fontId="18" fillId="0" borderId="0" xfId="105" applyNumberFormat="1" applyFont="1" applyFill="1" applyAlignment="1"/>
    <xf numFmtId="172" fontId="12" fillId="0" borderId="0" xfId="0" applyFont="1" applyFill="1" applyAlignment="1"/>
    <xf numFmtId="43" fontId="14" fillId="0" borderId="0" xfId="105" applyNumberFormat="1" applyFont="1" applyFill="1" applyAlignment="1"/>
    <xf numFmtId="7" fontId="14" fillId="0" borderId="6" xfId="0" applyNumberFormat="1" applyFont="1" applyFill="1" applyBorder="1" applyAlignment="1"/>
    <xf numFmtId="172" fontId="16" fillId="0" borderId="0" xfId="0" applyFont="1" applyFill="1" applyAlignment="1"/>
    <xf numFmtId="172" fontId="16" fillId="0" borderId="4" xfId="0" applyFont="1" applyFill="1" applyBorder="1" applyAlignment="1">
      <alignment horizontal="center"/>
    </xf>
    <xf numFmtId="172" fontId="16" fillId="0" borderId="0" xfId="0" applyFont="1" applyFill="1" applyBorder="1" applyAlignment="1"/>
    <xf numFmtId="182" fontId="18" fillId="0" borderId="6" xfId="180" applyNumberFormat="1" applyFont="1" applyFill="1" applyBorder="1" applyAlignment="1"/>
    <xf numFmtId="172" fontId="0" fillId="0" borderId="0" xfId="0" applyFill="1" applyAlignment="1">
      <alignment horizontal="right"/>
    </xf>
    <xf numFmtId="202" fontId="0" fillId="0" borderId="0" xfId="0" applyNumberFormat="1" applyFill="1" applyAlignment="1">
      <alignment horizontal="right"/>
    </xf>
    <xf numFmtId="172" fontId="2" fillId="0" borderId="0" xfId="0" applyFont="1" applyFill="1" applyAlignment="1"/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165" fontId="3" fillId="0" borderId="0" xfId="0" applyNumberFormat="1" applyFont="1" applyFill="1" applyAlignment="1"/>
    <xf numFmtId="183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173" fontId="3" fillId="0" borderId="3" xfId="105" applyNumberFormat="1" applyFont="1" applyFill="1" applyBorder="1" applyAlignment="1"/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36" xfId="0" applyNumberFormat="1" applyFont="1" applyFill="1" applyBorder="1" applyAlignment="1"/>
    <xf numFmtId="202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1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0" fontId="3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3" fontId="3" fillId="0" borderId="37" xfId="0" applyNumberFormat="1" applyFont="1" applyFill="1" applyBorder="1" applyAlignment="1"/>
    <xf numFmtId="202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 applyProtection="1">
      <protection locked="0"/>
    </xf>
    <xf numFmtId="0" fontId="3" fillId="0" borderId="3" xfId="0" applyNumberFormat="1" applyFont="1" applyFill="1" applyBorder="1"/>
    <xf numFmtId="3" fontId="3" fillId="0" borderId="6" xfId="0" applyNumberFormat="1" applyFont="1" applyFill="1" applyBorder="1" applyAlignment="1"/>
    <xf numFmtId="49" fontId="3" fillId="0" borderId="0" xfId="0" applyNumberFormat="1" applyFont="1" applyFill="1" applyAlignment="1"/>
    <xf numFmtId="183" fontId="3" fillId="0" borderId="0" xfId="0" applyNumberFormat="1" applyFont="1" applyFill="1" applyAlignment="1">
      <alignment horizontal="right"/>
    </xf>
    <xf numFmtId="172" fontId="3" fillId="0" borderId="6" xfId="0" applyFont="1" applyFill="1" applyBorder="1" applyAlignment="1"/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0" fontId="3" fillId="0" borderId="6" xfId="0" applyNumberFormat="1" applyFont="1" applyFill="1" applyBorder="1" applyProtection="1">
      <protection locked="0"/>
    </xf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Alignment="1"/>
    <xf numFmtId="6" fontId="3" fillId="0" borderId="0" xfId="174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0" fontId="43" fillId="0" borderId="0" xfId="0" applyNumberFormat="1" applyFont="1" applyFill="1"/>
    <xf numFmtId="0" fontId="3" fillId="0" borderId="4" xfId="0" applyNumberFormat="1" applyFont="1" applyFill="1" applyBorder="1" applyAlignment="1"/>
    <xf numFmtId="172" fontId="43" fillId="0" borderId="0" xfId="0" applyFont="1" applyFill="1" applyAlignment="1"/>
    <xf numFmtId="0" fontId="3" fillId="0" borderId="0" xfId="0" quotePrefix="1" applyNumberFormat="1" applyFont="1" applyFill="1"/>
    <xf numFmtId="49" fontId="3" fillId="0" borderId="3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/>
    <xf numFmtId="3" fontId="3" fillId="0" borderId="0" xfId="0" quotePrefix="1" applyNumberFormat="1" applyFont="1" applyFill="1" applyAlignment="1"/>
    <xf numFmtId="10" fontId="3" fillId="0" borderId="3" xfId="180" applyNumberFormat="1" applyFont="1" applyFill="1" applyBorder="1" applyAlignment="1"/>
    <xf numFmtId="202" fontId="3" fillId="0" borderId="0" xfId="180" applyNumberFormat="1" applyFont="1" applyFill="1" applyAlignment="1">
      <alignment horizontal="right"/>
    </xf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43" fontId="3" fillId="0" borderId="0" xfId="105" applyFont="1" applyFill="1" applyProtection="1">
      <protection locked="0"/>
    </xf>
    <xf numFmtId="43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44" fontId="10" fillId="0" borderId="0" xfId="112" applyFont="1" applyFill="1"/>
    <xf numFmtId="173" fontId="3" fillId="0" borderId="4" xfId="105" applyNumberFormat="1" applyFont="1" applyFill="1" applyBorder="1" applyAlignment="1"/>
    <xf numFmtId="0" fontId="6" fillId="0" borderId="38" xfId="169" applyFill="1" applyBorder="1" applyAlignment="1">
      <alignment horizontal="center"/>
    </xf>
    <xf numFmtId="0" fontId="6" fillId="0" borderId="39" xfId="169" applyFill="1" applyBorder="1" applyAlignment="1">
      <alignment horizontal="center"/>
    </xf>
    <xf numFmtId="0" fontId="6" fillId="0" borderId="40" xfId="169" applyFill="1" applyBorder="1" applyAlignment="1">
      <alignment horizontal="center"/>
    </xf>
    <xf numFmtId="1" fontId="6" fillId="0" borderId="32" xfId="169" applyNumberFormat="1" applyFill="1" applyBorder="1" applyAlignment="1">
      <alignment horizontal="center"/>
    </xf>
    <xf numFmtId="1" fontId="6" fillId="0" borderId="33" xfId="169" applyNumberFormat="1" applyFill="1" applyBorder="1" applyAlignment="1">
      <alignment horizontal="center"/>
    </xf>
    <xf numFmtId="1" fontId="6" fillId="0" borderId="34" xfId="169" applyNumberFormat="1" applyFill="1" applyBorder="1" applyAlignment="1">
      <alignment horizontal="center"/>
    </xf>
    <xf numFmtId="3" fontId="3" fillId="30" borderId="0" xfId="0" applyNumberFormat="1" applyFont="1" applyFill="1" applyAlignment="1"/>
    <xf numFmtId="3" fontId="3" fillId="30" borderId="0" xfId="163" applyNumberFormat="1" applyFont="1" applyFill="1" applyAlignment="1"/>
    <xf numFmtId="3" fontId="3" fillId="30" borderId="6" xfId="0" applyNumberFormat="1" applyFont="1" applyFill="1" applyBorder="1" applyAlignment="1"/>
    <xf numFmtId="3" fontId="3" fillId="30" borderId="3" xfId="0" applyNumberFormat="1" applyFont="1" applyFill="1" applyBorder="1" applyAlignment="1"/>
    <xf numFmtId="173" fontId="3" fillId="30" borderId="0" xfId="105" applyNumberFormat="1" applyFont="1" applyFill="1" applyAlignment="1"/>
    <xf numFmtId="173" fontId="3" fillId="30" borderId="3" xfId="105" applyNumberFormat="1" applyFont="1" applyFill="1" applyBorder="1" applyAlignment="1"/>
    <xf numFmtId="42" fontId="6" fillId="31" borderId="0" xfId="171" applyNumberFormat="1" applyFill="1"/>
    <xf numFmtId="42" fontId="6" fillId="31" borderId="3" xfId="171" applyNumberFormat="1" applyFill="1" applyBorder="1"/>
    <xf numFmtId="1" fontId="6" fillId="0" borderId="0" xfId="169" applyNumberFormat="1" applyFill="1"/>
    <xf numFmtId="0" fontId="3" fillId="0" borderId="0" xfId="0" applyNumberFormat="1" applyFont="1"/>
    <xf numFmtId="172" fontId="0" fillId="0" borderId="0" xfId="0"/>
    <xf numFmtId="0" fontId="3" fillId="0" borderId="0" xfId="0" applyNumberFormat="1" applyFont="1" applyProtection="1">
      <protection locked="0"/>
    </xf>
    <xf numFmtId="43" fontId="0" fillId="0" borderId="6" xfId="105" applyFont="1" applyBorder="1"/>
    <xf numFmtId="182" fontId="6" fillId="0" borderId="0" xfId="180" applyNumberFormat="1" applyFont="1" applyFill="1" applyAlignment="1"/>
    <xf numFmtId="172" fontId="0" fillId="0" borderId="26" xfId="0" applyFill="1" applyBorder="1" applyAlignment="1"/>
    <xf numFmtId="0" fontId="3" fillId="0" borderId="6" xfId="0" applyNumberFormat="1" applyFont="1" applyBorder="1"/>
    <xf numFmtId="172" fontId="0" fillId="0" borderId="6" xfId="0" applyBorder="1"/>
    <xf numFmtId="172" fontId="1" fillId="0" borderId="27" xfId="0" applyFont="1" applyFill="1" applyBorder="1" applyAlignment="1"/>
    <xf numFmtId="172" fontId="0" fillId="0" borderId="28" xfId="0" applyFill="1" applyBorder="1" applyAlignment="1"/>
    <xf numFmtId="0" fontId="3" fillId="0" borderId="0" xfId="0" applyNumberFormat="1" applyFont="1" applyBorder="1"/>
    <xf numFmtId="172" fontId="0" fillId="0" borderId="0" xfId="0" applyBorder="1"/>
    <xf numFmtId="172" fontId="1" fillId="0" borderId="29" xfId="0" applyFont="1" applyFill="1" applyBorder="1" applyAlignment="1"/>
    <xf numFmtId="173" fontId="0" fillId="0" borderId="0" xfId="105" applyNumberFormat="1" applyFont="1" applyBorder="1"/>
    <xf numFmtId="0" fontId="3" fillId="0" borderId="0" xfId="0" applyNumberFormat="1" applyFont="1" applyBorder="1" applyProtection="1">
      <protection locked="0"/>
    </xf>
    <xf numFmtId="172" fontId="0" fillId="0" borderId="29" xfId="0" applyBorder="1"/>
    <xf numFmtId="172" fontId="0" fillId="0" borderId="30" xfId="0" applyFill="1" applyBorder="1" applyAlignment="1"/>
    <xf numFmtId="172" fontId="0" fillId="0" borderId="4" xfId="0" applyFill="1" applyBorder="1" applyAlignment="1"/>
    <xf numFmtId="172" fontId="0" fillId="0" borderId="31" xfId="0" applyFill="1" applyBorder="1" applyAlignment="1"/>
    <xf numFmtId="43" fontId="0" fillId="0" borderId="0" xfId="105" applyFont="1" applyBorder="1"/>
    <xf numFmtId="43" fontId="0" fillId="0" borderId="29" xfId="105" applyFont="1" applyFill="1" applyBorder="1" applyAlignment="1"/>
    <xf numFmtId="172" fontId="0" fillId="0" borderId="4" xfId="0" applyBorder="1"/>
    <xf numFmtId="172" fontId="1" fillId="0" borderId="31" xfId="0" applyFont="1" applyFill="1" applyBorder="1" applyAlignment="1"/>
    <xf numFmtId="43" fontId="0" fillId="0" borderId="0" xfId="0" applyNumberFormat="1" applyBorder="1"/>
    <xf numFmtId="0" fontId="3" fillId="0" borderId="4" xfId="0" applyNumberFormat="1" applyFont="1" applyBorder="1"/>
    <xf numFmtId="174" fontId="96" fillId="0" borderId="4" xfId="114" applyNumberFormat="1" applyFont="1" applyFill="1" applyBorder="1"/>
    <xf numFmtId="173" fontId="0" fillId="0" borderId="4" xfId="0" applyNumberFormat="1" applyBorder="1"/>
    <xf numFmtId="43" fontId="0" fillId="0" borderId="0" xfId="105" applyFont="1" applyFill="1" applyBorder="1"/>
    <xf numFmtId="43" fontId="0" fillId="0" borderId="6" xfId="105" applyFont="1" applyFill="1" applyBorder="1"/>
    <xf numFmtId="0" fontId="14" fillId="0" borderId="0" xfId="17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172" fontId="5" fillId="0" borderId="0" xfId="0" applyFont="1" applyFill="1" applyAlignment="1">
      <alignment horizontal="center"/>
    </xf>
    <xf numFmtId="0" fontId="14" fillId="0" borderId="0" xfId="172" applyFont="1" applyFill="1" applyAlignment="1">
      <alignment horizontal="center"/>
    </xf>
    <xf numFmtId="0" fontId="5" fillId="0" borderId="41" xfId="171" applyFont="1" applyFill="1" applyBorder="1" applyAlignment="1">
      <alignment horizontal="center"/>
    </xf>
    <xf numFmtId="0" fontId="5" fillId="0" borderId="10" xfId="171" applyFont="1" applyFill="1" applyBorder="1" applyAlignment="1">
      <alignment horizontal="center"/>
    </xf>
    <xf numFmtId="0" fontId="5" fillId="0" borderId="42" xfId="171" applyFont="1" applyFill="1" applyBorder="1" applyAlignment="1">
      <alignment horizontal="center"/>
    </xf>
    <xf numFmtId="0" fontId="14" fillId="0" borderId="0" xfId="174" applyFont="1" applyFill="1" applyAlignment="1">
      <alignment horizontal="center"/>
    </xf>
  </cellXfs>
  <cellStyles count="244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2" xfId="14" builtinId="34" customBuiltin="1"/>
    <cellStyle name="20% - Accent2 2" xfId="15"/>
    <cellStyle name="20% - Accent3" xfId="16" builtinId="38" customBuiltin="1"/>
    <cellStyle name="20% - Accent3 2" xfId="17"/>
    <cellStyle name="20% - Accent4" xfId="18" builtinId="42" customBuiltin="1"/>
    <cellStyle name="20% - Accent4 2" xfId="19"/>
    <cellStyle name="20% - Accent5" xfId="20" builtinId="46" customBuiltin="1"/>
    <cellStyle name="20% - Accent5 2" xfId="21"/>
    <cellStyle name="20% - Accent6" xfId="22" builtinId="50" customBuiltin="1"/>
    <cellStyle name="20% - Accent6 2" xfId="23"/>
    <cellStyle name="40% - Accent1" xfId="24" builtinId="31" customBuiltin="1"/>
    <cellStyle name="40% - Accent1 2" xfId="25"/>
    <cellStyle name="40% - Accent2" xfId="26" builtinId="35" customBuiltin="1"/>
    <cellStyle name="40% - Accent2 2" xfId="27"/>
    <cellStyle name="40% - Accent3" xfId="28" builtinId="39" customBuiltin="1"/>
    <cellStyle name="40% - Accent3 2" xfId="29"/>
    <cellStyle name="40% - Accent4" xfId="30" builtinId="43" customBuiltin="1"/>
    <cellStyle name="40% - Accent4 2" xfId="31"/>
    <cellStyle name="40% - Accent5" xfId="32" builtinId="47" customBuiltin="1"/>
    <cellStyle name="40% - Accent5 2" xfId="33"/>
    <cellStyle name="40% - Accent6" xfId="34" builtinId="51" customBuiltin="1"/>
    <cellStyle name="40% - Accent6 2" xfId="35"/>
    <cellStyle name="60% - Accent1" xfId="36" builtinId="32" customBuiltin="1"/>
    <cellStyle name="60% - Accent1 2" xfId="37"/>
    <cellStyle name="60% - Accent2" xfId="38" builtinId="36" customBuiltin="1"/>
    <cellStyle name="60% - Accent2 2" xfId="39"/>
    <cellStyle name="60% - Accent3" xfId="40" builtinId="40" customBuiltin="1"/>
    <cellStyle name="60% - Accent3 2" xfId="41"/>
    <cellStyle name="60% - Accent4" xfId="42" builtinId="44" customBuiltin="1"/>
    <cellStyle name="60% - Accent4 2" xfId="43"/>
    <cellStyle name="60% - Accent5" xfId="44" builtinId="48" customBuiltin="1"/>
    <cellStyle name="60% - Accent5 2" xfId="45"/>
    <cellStyle name="60% - Accent6" xfId="46" builtinId="52" customBuiltin="1"/>
    <cellStyle name="60% - Accent6 2" xfId="47"/>
    <cellStyle name="Accent1" xfId="48" builtinId="29" customBuiltin="1"/>
    <cellStyle name="Accent1 2" xfId="49"/>
    <cellStyle name="Accent2" xfId="50" builtinId="33" customBuiltin="1"/>
    <cellStyle name="Accent2 2" xfId="51"/>
    <cellStyle name="Accent3" xfId="52" builtinId="37" customBuiltin="1"/>
    <cellStyle name="Accent3 2" xfId="53"/>
    <cellStyle name="Accent4" xfId="54" builtinId="41" customBuiltin="1"/>
    <cellStyle name="Accent4 2" xfId="55"/>
    <cellStyle name="Accent5" xfId="56" builtinId="45" customBuiltin="1"/>
    <cellStyle name="Accent5 2" xfId="57"/>
    <cellStyle name="Accent6" xfId="58" builtinId="49" customBuiltin="1"/>
    <cellStyle name="Accent6 2" xfId="59"/>
    <cellStyle name="Accounting" xfId="60"/>
    <cellStyle name="Actual Date" xfId="61"/>
    <cellStyle name="ADDR" xfId="62"/>
    <cellStyle name="Agara" xfId="63"/>
    <cellStyle name="Bad" xfId="64" builtinId="27" customBuiltin="1"/>
    <cellStyle name="Bad 2" xfId="65"/>
    <cellStyle name="Body" xfId="66"/>
    <cellStyle name="Bottom bold border" xfId="67"/>
    <cellStyle name="Bottom single border" xfId="68"/>
    <cellStyle name="Business Unit" xfId="69"/>
    <cellStyle name="C00A" xfId="70"/>
    <cellStyle name="C00B" xfId="71"/>
    <cellStyle name="C00L" xfId="72"/>
    <cellStyle name="C01A" xfId="73"/>
    <cellStyle name="C01B" xfId="74"/>
    <cellStyle name="C01H" xfId="75"/>
    <cellStyle name="C01L" xfId="76"/>
    <cellStyle name="C02A" xfId="77"/>
    <cellStyle name="C02B" xfId="78"/>
    <cellStyle name="C02H" xfId="79"/>
    <cellStyle name="C02L" xfId="80"/>
    <cellStyle name="C03A" xfId="81"/>
    <cellStyle name="C03B" xfId="82"/>
    <cellStyle name="C03H" xfId="83"/>
    <cellStyle name="C03L" xfId="84"/>
    <cellStyle name="C04A" xfId="85"/>
    <cellStyle name="C04B" xfId="86"/>
    <cellStyle name="C04H" xfId="87"/>
    <cellStyle name="C04L" xfId="88"/>
    <cellStyle name="C05A" xfId="89"/>
    <cellStyle name="C05B" xfId="90"/>
    <cellStyle name="C05H" xfId="91"/>
    <cellStyle name="C05L" xfId="92"/>
    <cellStyle name="C06A" xfId="93"/>
    <cellStyle name="C06B" xfId="94"/>
    <cellStyle name="C06H" xfId="95"/>
    <cellStyle name="C06L" xfId="96"/>
    <cellStyle name="C07A" xfId="97"/>
    <cellStyle name="C07B" xfId="98"/>
    <cellStyle name="C07H" xfId="99"/>
    <cellStyle name="C07L" xfId="100"/>
    <cellStyle name="Calculation" xfId="101" builtinId="22" customBuiltin="1"/>
    <cellStyle name="Calculation 2" xfId="102"/>
    <cellStyle name="Check Cell" xfId="103" builtinId="23" customBuiltin="1"/>
    <cellStyle name="Check Cell 2" xfId="104"/>
    <cellStyle name="Comma" xfId="105" builtinId="3"/>
    <cellStyle name="Comma 0" xfId="106"/>
    <cellStyle name="Comma 2" xfId="107"/>
    <cellStyle name="Comma 3" xfId="108"/>
    <cellStyle name="Comma 4" xfId="109"/>
    <cellStyle name="Comma 5" xfId="110"/>
    <cellStyle name="Comma0 - Style1" xfId="111"/>
    <cellStyle name="Currency" xfId="112" builtinId="4"/>
    <cellStyle name="Currency 2" xfId="113"/>
    <cellStyle name="Currency 2 2" xfId="114"/>
    <cellStyle name="Currency 3" xfId="115"/>
    <cellStyle name="Date" xfId="116"/>
    <cellStyle name="Euro" xfId="117"/>
    <cellStyle name="Explanatory Text" xfId="118" builtinId="53" customBuiltin="1"/>
    <cellStyle name="Explanatory Text 2" xfId="119"/>
    <cellStyle name="Fixed" xfId="120"/>
    <cellStyle name="Fixed1 - Style1" xfId="121"/>
    <cellStyle name="Gilsans" xfId="122"/>
    <cellStyle name="Gilsansl" xfId="123"/>
    <cellStyle name="Good" xfId="124" builtinId="26" customBuiltin="1"/>
    <cellStyle name="Good 2" xfId="125"/>
    <cellStyle name="Grey" xfId="126"/>
    <cellStyle name="HEADER" xfId="127"/>
    <cellStyle name="Header1" xfId="128"/>
    <cellStyle name="Header2" xfId="129"/>
    <cellStyle name="Heading" xfId="130"/>
    <cellStyle name="Heading 1" xfId="131" builtinId="16" customBuiltin="1"/>
    <cellStyle name="Heading 1 2" xfId="132"/>
    <cellStyle name="Heading 2" xfId="133" builtinId="17" customBuiltin="1"/>
    <cellStyle name="Heading 2 2" xfId="134"/>
    <cellStyle name="Heading 3" xfId="135" builtinId="18" customBuiltin="1"/>
    <cellStyle name="Heading 3 2" xfId="136"/>
    <cellStyle name="Heading 4" xfId="137" builtinId="19" customBuiltin="1"/>
    <cellStyle name="Heading 4 2" xfId="138"/>
    <cellStyle name="Heading1" xfId="139"/>
    <cellStyle name="Heading2" xfId="140"/>
    <cellStyle name="HIGHLIGHT" xfId="141"/>
    <cellStyle name="Input" xfId="142" builtinId="20" customBuiltin="1"/>
    <cellStyle name="Input [yellow]" xfId="143"/>
    <cellStyle name="Input 2" xfId="144"/>
    <cellStyle name="Lines" xfId="145"/>
    <cellStyle name="Linked Cell" xfId="146" builtinId="24" customBuiltin="1"/>
    <cellStyle name="Linked Cell 2" xfId="147"/>
    <cellStyle name="MEM SSN" xfId="148"/>
    <cellStyle name="Mine" xfId="149"/>
    <cellStyle name="mmm-yy" xfId="150"/>
    <cellStyle name="Monétaire [0]_pldt" xfId="151"/>
    <cellStyle name="Monétaire_pldt" xfId="152"/>
    <cellStyle name="Neutral" xfId="153" builtinId="28" customBuiltin="1"/>
    <cellStyle name="Neutral 2" xfId="154"/>
    <cellStyle name="New" xfId="155"/>
    <cellStyle name="No Border" xfId="156"/>
    <cellStyle name="no dec" xfId="157"/>
    <cellStyle name="Normal" xfId="0" builtinId="0"/>
    <cellStyle name="Normal - Style1" xfId="158"/>
    <cellStyle name="Normal 2" xfId="159"/>
    <cellStyle name="Normal 2 2" xfId="160"/>
    <cellStyle name="Normal 3" xfId="161"/>
    <cellStyle name="Normal 3 2" xfId="162"/>
    <cellStyle name="Normal 3 5" xfId="163"/>
    <cellStyle name="Normal 4" xfId="164"/>
    <cellStyle name="Normal 4 2" xfId="165"/>
    <cellStyle name="Normal CEN" xfId="166"/>
    <cellStyle name="Normal Centered" xfId="167"/>
    <cellStyle name="NORMAL CTR" xfId="168"/>
    <cellStyle name="Normal_2002 AREA LOADS FOR JNT TARIFF" xfId="169"/>
    <cellStyle name="Normal_Capital True-up" xfId="170"/>
    <cellStyle name="Normal_CU AC Rate Design" xfId="171"/>
    <cellStyle name="Normal_PRECorp2002HeintzResponse 8-21-03" xfId="172"/>
    <cellStyle name="Normal_Sheet1" xfId="173"/>
    <cellStyle name="Normal_TopSheet Type Ancillaries Worksheet-Updated 81903" xfId="174"/>
    <cellStyle name="Note" xfId="175" builtinId="10" customBuiltin="1"/>
    <cellStyle name="Note 2" xfId="176"/>
    <cellStyle name="nUMBER" xfId="177"/>
    <cellStyle name="Output" xfId="178" builtinId="21" customBuiltin="1"/>
    <cellStyle name="Output 2" xfId="179"/>
    <cellStyle name="Percent" xfId="180" builtinId="5"/>
    <cellStyle name="Percent [2]" xfId="181"/>
    <cellStyle name="Percent 2" xfId="182"/>
    <cellStyle name="PSChar" xfId="183"/>
    <cellStyle name="PSDate" xfId="184"/>
    <cellStyle name="PSDec" xfId="185"/>
    <cellStyle name="PSHeading" xfId="186"/>
    <cellStyle name="PSInt" xfId="187"/>
    <cellStyle name="PSSpacer" xfId="188"/>
    <cellStyle name="R00A" xfId="189"/>
    <cellStyle name="R00B" xfId="190"/>
    <cellStyle name="R00L" xfId="191"/>
    <cellStyle name="R01A" xfId="192"/>
    <cellStyle name="R01B" xfId="193"/>
    <cellStyle name="R01H" xfId="194"/>
    <cellStyle name="R01L" xfId="195"/>
    <cellStyle name="R02A" xfId="196"/>
    <cellStyle name="R02B" xfId="197"/>
    <cellStyle name="R02H" xfId="198"/>
    <cellStyle name="R02L" xfId="199"/>
    <cellStyle name="R03A" xfId="200"/>
    <cellStyle name="R03B" xfId="201"/>
    <cellStyle name="R03H" xfId="202"/>
    <cellStyle name="R03L" xfId="203"/>
    <cellStyle name="R04A" xfId="204"/>
    <cellStyle name="R04B" xfId="205"/>
    <cellStyle name="R04H" xfId="206"/>
    <cellStyle name="R04L" xfId="207"/>
    <cellStyle name="R05A" xfId="208"/>
    <cellStyle name="R05B" xfId="209"/>
    <cellStyle name="R05H" xfId="210"/>
    <cellStyle name="R05L" xfId="211"/>
    <cellStyle name="R06A" xfId="212"/>
    <cellStyle name="R06B" xfId="213"/>
    <cellStyle name="R06H" xfId="214"/>
    <cellStyle name="R06L" xfId="215"/>
    <cellStyle name="R07A" xfId="216"/>
    <cellStyle name="R07B" xfId="217"/>
    <cellStyle name="R07H" xfId="218"/>
    <cellStyle name="R07L" xfId="219"/>
    <cellStyle name="Resource Detail" xfId="220"/>
    <cellStyle name="Shade" xfId="221"/>
    <cellStyle name="single acct" xfId="222"/>
    <cellStyle name="Single Border" xfId="223"/>
    <cellStyle name="Small Page Heading" xfId="224"/>
    <cellStyle name="ssn" xfId="225"/>
    <cellStyle name="Style 1" xfId="226"/>
    <cellStyle name="Style 2" xfId="227"/>
    <cellStyle name="Style 27" xfId="228"/>
    <cellStyle name="Style 28" xfId="229"/>
    <cellStyle name="Table Sub Heading" xfId="230"/>
    <cellStyle name="Table Title" xfId="231"/>
    <cellStyle name="Table Units" xfId="232"/>
    <cellStyle name="Theirs" xfId="233"/>
    <cellStyle name="Times New Roman" xfId="234"/>
    <cellStyle name="Title" xfId="235" builtinId="15" customBuiltin="1"/>
    <cellStyle name="Title 2" xfId="236"/>
    <cellStyle name="Total" xfId="237" builtinId="25" customBuiltin="1"/>
    <cellStyle name="Total 2" xfId="238"/>
    <cellStyle name="Unprot" xfId="239"/>
    <cellStyle name="Unprot$" xfId="240"/>
    <cellStyle name="Unprotect" xfId="241"/>
    <cellStyle name="Warning Text" xfId="242" builtinId="11" customBuiltin="1"/>
    <cellStyle name="Warning Text 2" xfId="2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6"/>
  <sheetViews>
    <sheetView tabSelected="1" topLeftCell="A16" zoomScaleNormal="100" workbookViewId="0">
      <selection activeCell="G33" sqref="G33"/>
    </sheetView>
  </sheetViews>
  <sheetFormatPr defaultColWidth="7.109375" defaultRowHeight="12.75"/>
  <cols>
    <col min="1" max="1" width="3.88671875" style="99" customWidth="1"/>
    <col min="2" max="2" width="7.109375" style="8" customWidth="1"/>
    <col min="3" max="3" width="6.88671875" style="8" customWidth="1"/>
    <col min="4" max="4" width="11.5546875" style="8" customWidth="1"/>
    <col min="5" max="5" width="11.5546875" style="8" bestFit="1" customWidth="1"/>
    <col min="6" max="6" width="12.109375" style="8" customWidth="1"/>
    <col min="7" max="7" width="8.88671875" style="8" bestFit="1" customWidth="1"/>
    <col min="8" max="8" width="9.5546875" style="8" bestFit="1" customWidth="1"/>
    <col min="9" max="9" width="7.109375" style="8" customWidth="1"/>
    <col min="10" max="10" width="8.88671875" style="8" bestFit="1" customWidth="1"/>
    <col min="11" max="11" width="7.109375" style="8" customWidth="1"/>
    <col min="12" max="12" width="11.44140625" style="8" customWidth="1"/>
    <col min="13" max="16384" width="7.109375" style="8"/>
  </cols>
  <sheetData>
    <row r="1" spans="1:11">
      <c r="H1" s="100" t="s">
        <v>462</v>
      </c>
    </row>
    <row r="2" spans="1:11">
      <c r="G2" s="7"/>
    </row>
    <row r="3" spans="1:11" ht="15" customHeight="1">
      <c r="A3" s="317" t="s">
        <v>360</v>
      </c>
      <c r="B3" s="317"/>
      <c r="C3" s="317"/>
      <c r="D3" s="317"/>
      <c r="E3" s="317"/>
      <c r="F3" s="317"/>
      <c r="G3" s="317"/>
      <c r="H3" s="317"/>
    </row>
    <row r="4" spans="1:11" ht="15" customHeight="1">
      <c r="A4" s="317" t="s">
        <v>77</v>
      </c>
      <c r="B4" s="317"/>
      <c r="C4" s="317"/>
      <c r="D4" s="317"/>
      <c r="E4" s="317"/>
      <c r="F4" s="317"/>
      <c r="G4" s="317"/>
      <c r="H4" s="317"/>
    </row>
    <row r="6" spans="1:11">
      <c r="A6" s="90" t="s">
        <v>70</v>
      </c>
    </row>
    <row r="8" spans="1:11">
      <c r="A8" s="99">
        <v>1</v>
      </c>
      <c r="B8" s="7" t="s">
        <v>114</v>
      </c>
      <c r="D8" s="7"/>
      <c r="G8" s="7"/>
      <c r="H8" s="102">
        <v>799485.82</v>
      </c>
      <c r="I8" s="7"/>
    </row>
    <row r="9" spans="1:11">
      <c r="G9" s="7"/>
      <c r="H9" s="7"/>
    </row>
    <row r="10" spans="1:11" ht="39" thickBot="1">
      <c r="D10" s="103" t="str">
        <f>+B20</f>
        <v>Entity</v>
      </c>
      <c r="E10" s="104"/>
      <c r="F10" s="65" t="s">
        <v>164</v>
      </c>
      <c r="G10" s="105" t="s">
        <v>254</v>
      </c>
      <c r="H10" s="65" t="s">
        <v>362</v>
      </c>
    </row>
    <row r="11" spans="1:11">
      <c r="D11" s="99"/>
      <c r="F11" s="106"/>
      <c r="G11" s="107"/>
      <c r="H11" s="108"/>
    </row>
    <row r="12" spans="1:11">
      <c r="A12" s="99">
        <v>2</v>
      </c>
      <c r="D12" s="8" t="s">
        <v>363</v>
      </c>
      <c r="F12" s="109">
        <f>+L22</f>
        <v>27.259011486221048</v>
      </c>
      <c r="G12" s="110">
        <f>+F12/F$15</f>
        <v>0.58969389877782752</v>
      </c>
      <c r="H12" s="102">
        <f>+H$8*G12</f>
        <v>471451.91021338839</v>
      </c>
      <c r="J12" s="111"/>
      <c r="K12" s="112"/>
    </row>
    <row r="13" spans="1:11">
      <c r="A13" s="99">
        <v>3</v>
      </c>
      <c r="D13" s="8" t="s">
        <v>364</v>
      </c>
      <c r="F13" s="113">
        <f>+L23</f>
        <v>16.802008184376962</v>
      </c>
      <c r="G13" s="110">
        <f>+F13/F$15</f>
        <v>0.36347766016939237</v>
      </c>
      <c r="H13" s="102">
        <f>+H$8*G13</f>
        <v>290595.23519220797</v>
      </c>
      <c r="J13" s="114"/>
      <c r="K13" s="112"/>
    </row>
    <row r="14" spans="1:11" ht="13.5" thickBot="1">
      <c r="A14" s="99">
        <v>4</v>
      </c>
      <c r="D14" s="115" t="s">
        <v>365</v>
      </c>
      <c r="E14" s="115"/>
      <c r="F14" s="116">
        <f>+L24</f>
        <v>2.1646773269744997</v>
      </c>
      <c r="G14" s="117">
        <f>+F14/F$15</f>
        <v>4.6828441052780126E-2</v>
      </c>
      <c r="H14" s="118">
        <f>+H$8*G14</f>
        <v>37438.674594403579</v>
      </c>
      <c r="J14" s="114"/>
      <c r="K14" s="112"/>
    </row>
    <row r="15" spans="1:11">
      <c r="A15" s="99">
        <v>5</v>
      </c>
      <c r="D15" s="8" t="s">
        <v>198</v>
      </c>
      <c r="F15" s="113">
        <f>SUM(F12:F14)</f>
        <v>46.225696997572513</v>
      </c>
      <c r="G15" s="119">
        <f>+F15/F$15</f>
        <v>1</v>
      </c>
      <c r="H15" s="120">
        <f>SUM(H12:H14)</f>
        <v>799485.82</v>
      </c>
      <c r="J15" s="111"/>
    </row>
    <row r="16" spans="1:11">
      <c r="G16" s="7"/>
      <c r="H16" s="7"/>
    </row>
    <row r="17" spans="1:18">
      <c r="G17" s="7"/>
      <c r="H17" s="7"/>
    </row>
    <row r="18" spans="1:18">
      <c r="A18" s="90" t="s">
        <v>366</v>
      </c>
      <c r="E18" s="90" t="s">
        <v>460</v>
      </c>
      <c r="G18" s="7"/>
      <c r="H18" s="7"/>
    </row>
    <row r="19" spans="1:18">
      <c r="G19" s="7"/>
      <c r="H19" s="7"/>
    </row>
    <row r="20" spans="1:18" ht="39" thickBot="1">
      <c r="B20" s="104" t="s">
        <v>367</v>
      </c>
      <c r="C20" s="104"/>
      <c r="D20" s="121" t="s">
        <v>165</v>
      </c>
      <c r="E20" s="121" t="s">
        <v>167</v>
      </c>
      <c r="F20" s="121" t="s">
        <v>368</v>
      </c>
      <c r="G20" s="65" t="s">
        <v>461</v>
      </c>
      <c r="H20" s="65" t="s">
        <v>309</v>
      </c>
    </row>
    <row r="21" spans="1:18">
      <c r="G21" s="7"/>
      <c r="H21" s="7"/>
      <c r="M21" s="122" t="s">
        <v>392</v>
      </c>
      <c r="N21" s="123"/>
      <c r="O21" s="123"/>
      <c r="P21" s="124"/>
    </row>
    <row r="22" spans="1:18">
      <c r="A22" s="99">
        <v>6</v>
      </c>
      <c r="B22" s="8" t="str">
        <f>+D12</f>
        <v>Black Hills</v>
      </c>
      <c r="D22" s="55">
        <f>'True-Up'!J115</f>
        <v>26740053.15999404</v>
      </c>
      <c r="E22" s="125">
        <f>-H12</f>
        <v>-471451.91021338839</v>
      </c>
      <c r="F22" s="125">
        <f>+E22+D22</f>
        <v>26268601.249780651</v>
      </c>
      <c r="G22" s="6">
        <f>+'WP7 CU AC LOADS'!J24*1000</f>
        <v>963666.66666666663</v>
      </c>
      <c r="H22" s="66">
        <f>+F22/G22</f>
        <v>27.259012019834643</v>
      </c>
      <c r="J22" s="126" t="s">
        <v>119</v>
      </c>
      <c r="L22" s="91">
        <v>27.259011486221048</v>
      </c>
      <c r="M22" s="127" t="s">
        <v>393</v>
      </c>
      <c r="N22" s="128"/>
      <c r="O22" s="128"/>
      <c r="P22" s="129"/>
      <c r="R22" s="134"/>
    </row>
    <row r="23" spans="1:18">
      <c r="A23" s="99">
        <v>7</v>
      </c>
      <c r="B23" s="8" t="str">
        <f>+D13</f>
        <v>Basin Electric</v>
      </c>
      <c r="D23" s="285">
        <v>16482130</v>
      </c>
      <c r="E23" s="125">
        <f>-H13</f>
        <v>-290595.23519220797</v>
      </c>
      <c r="F23" s="125">
        <f>+E23+D23</f>
        <v>16191534.764807792</v>
      </c>
      <c r="G23" s="67">
        <f>+G22</f>
        <v>963666.66666666663</v>
      </c>
      <c r="H23" s="66">
        <f>+F23/G23</f>
        <v>16.802007711664952</v>
      </c>
      <c r="J23" s="126" t="s">
        <v>119</v>
      </c>
      <c r="L23" s="91">
        <v>16.802008184376962</v>
      </c>
      <c r="M23" s="127" t="s">
        <v>394</v>
      </c>
      <c r="N23" s="128"/>
      <c r="O23" s="128"/>
      <c r="P23" s="129"/>
      <c r="R23" s="134"/>
    </row>
    <row r="24" spans="1:18" ht="13.5" thickBot="1">
      <c r="A24" s="99">
        <v>8</v>
      </c>
      <c r="B24" s="104" t="str">
        <f>+D14</f>
        <v>PRECorp</v>
      </c>
      <c r="C24" s="104"/>
      <c r="D24" s="286">
        <v>2123466</v>
      </c>
      <c r="E24" s="130">
        <f>-H14</f>
        <v>-37438.674594403579</v>
      </c>
      <c r="F24" s="130">
        <f>+E24+D24</f>
        <v>2086027.3254055965</v>
      </c>
      <c r="G24" s="68">
        <f>+G23</f>
        <v>963666.66666666663</v>
      </c>
      <c r="H24" s="69">
        <f>+F24/G24</f>
        <v>2.1646772660729123</v>
      </c>
      <c r="J24" s="126" t="s">
        <v>119</v>
      </c>
      <c r="L24" s="91">
        <v>2.1646773269744997</v>
      </c>
      <c r="M24" s="131" t="s">
        <v>395</v>
      </c>
      <c r="N24" s="132"/>
      <c r="O24" s="132"/>
      <c r="P24" s="133"/>
      <c r="R24" s="134"/>
    </row>
    <row r="25" spans="1:18">
      <c r="A25" s="99">
        <v>9</v>
      </c>
      <c r="B25" s="8" t="s">
        <v>198</v>
      </c>
      <c r="D25" s="125">
        <f>SUM(D22:D24)</f>
        <v>45345649.159994036</v>
      </c>
      <c r="E25" s="125">
        <f>SUM(E22:E24)</f>
        <v>-799485.82</v>
      </c>
      <c r="F25" s="125">
        <f>SUM(F22:F24)</f>
        <v>44546163.339994043</v>
      </c>
      <c r="H25" s="134">
        <f>SUM(H22:H24)</f>
        <v>46.225696997572513</v>
      </c>
    </row>
    <row r="26" spans="1:18">
      <c r="F26" s="125"/>
      <c r="G26" s="135"/>
      <c r="H26" s="134"/>
    </row>
    <row r="27" spans="1:18">
      <c r="A27" s="90" t="s">
        <v>369</v>
      </c>
    </row>
    <row r="28" spans="1:18">
      <c r="A28" s="99">
        <v>10</v>
      </c>
      <c r="D28" s="8" t="s">
        <v>370</v>
      </c>
      <c r="F28" s="136">
        <f>+H25</f>
        <v>46.225696997572513</v>
      </c>
      <c r="G28" s="137" t="s">
        <v>371</v>
      </c>
    </row>
    <row r="29" spans="1:18">
      <c r="A29" s="99">
        <f t="shared" ref="A29:A34" si="0">+A28+1</f>
        <v>11</v>
      </c>
      <c r="D29" s="8" t="s">
        <v>372</v>
      </c>
      <c r="F29" s="109">
        <f>ROUND(F28/12,2)</f>
        <v>3.85</v>
      </c>
      <c r="G29" s="137" t="s">
        <v>373</v>
      </c>
    </row>
    <row r="30" spans="1:18">
      <c r="A30" s="99">
        <f t="shared" si="0"/>
        <v>12</v>
      </c>
      <c r="D30" s="8" t="s">
        <v>374</v>
      </c>
      <c r="F30" s="109">
        <f>ROUND(F28/52,2)</f>
        <v>0.89</v>
      </c>
      <c r="G30" s="137" t="s">
        <v>375</v>
      </c>
    </row>
    <row r="31" spans="1:18">
      <c r="A31" s="99">
        <f t="shared" si="0"/>
        <v>13</v>
      </c>
      <c r="D31" s="8" t="s">
        <v>376</v>
      </c>
      <c r="E31" s="8" t="s">
        <v>377</v>
      </c>
      <c r="F31" s="138">
        <f>+F30/6</f>
        <v>0.14833333333333334</v>
      </c>
      <c r="G31" s="137" t="s">
        <v>378</v>
      </c>
    </row>
    <row r="32" spans="1:18">
      <c r="A32" s="99">
        <f t="shared" si="0"/>
        <v>14</v>
      </c>
      <c r="D32" s="8" t="s">
        <v>379</v>
      </c>
      <c r="E32" s="8" t="s">
        <v>380</v>
      </c>
      <c r="F32" s="138">
        <f>+F30/7</f>
        <v>0.12714285714285714</v>
      </c>
      <c r="G32" s="137" t="s">
        <v>378</v>
      </c>
    </row>
    <row r="33" spans="1:7">
      <c r="A33" s="99">
        <f t="shared" si="0"/>
        <v>15</v>
      </c>
      <c r="D33" s="8" t="s">
        <v>381</v>
      </c>
      <c r="E33" s="8" t="s">
        <v>382</v>
      </c>
      <c r="F33" s="139">
        <f>+F31/16</f>
        <v>9.2708333333333341E-3</v>
      </c>
      <c r="G33" s="137" t="s">
        <v>383</v>
      </c>
    </row>
    <row r="34" spans="1:7">
      <c r="A34" s="99">
        <f t="shared" si="0"/>
        <v>16</v>
      </c>
      <c r="D34" s="8" t="s">
        <v>384</v>
      </c>
      <c r="E34" s="8" t="s">
        <v>385</v>
      </c>
      <c r="F34" s="139">
        <f>+F32/24</f>
        <v>5.2976190476190475E-3</v>
      </c>
      <c r="G34" s="137" t="s">
        <v>383</v>
      </c>
    </row>
    <row r="40" spans="1:7">
      <c r="A40" s="90" t="s">
        <v>386</v>
      </c>
    </row>
    <row r="42" spans="1:7">
      <c r="B42" s="8" t="str">
        <f>+D20</f>
        <v>Component Annual Revenue Requirements</v>
      </c>
      <c r="E42" s="125">
        <f>+D25</f>
        <v>45345649.159994036</v>
      </c>
    </row>
    <row r="43" spans="1:7">
      <c r="B43" s="7" t="s">
        <v>361</v>
      </c>
      <c r="E43" s="125">
        <f>+E25</f>
        <v>-799485.82</v>
      </c>
    </row>
    <row r="44" spans="1:7">
      <c r="B44" s="8" t="str">
        <f>+F20</f>
        <v>Net Revenue Requirements</v>
      </c>
      <c r="E44" s="125">
        <f>+F25</f>
        <v>44546163.339994043</v>
      </c>
    </row>
    <row r="45" spans="1:7">
      <c r="B45" s="8" t="str">
        <f>+G20</f>
        <v>Actual 2021 Load</v>
      </c>
      <c r="E45" s="135">
        <f>+G22</f>
        <v>963666.66666666663</v>
      </c>
    </row>
    <row r="46" spans="1:7">
      <c r="B46" s="8" t="str">
        <f>+H20</f>
        <v>Annual Rate</v>
      </c>
      <c r="E46" s="136">
        <f>+E44/E45</f>
        <v>46.225696997572513</v>
      </c>
    </row>
  </sheetData>
  <mergeCells count="2">
    <mergeCell ref="A3:H3"/>
    <mergeCell ref="A4:H4"/>
  </mergeCells>
  <phoneticPr fontId="21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N237"/>
  <sheetViews>
    <sheetView showGridLines="0" view="pageBreakPreview" zoomScale="85" zoomScaleNormal="90" zoomScaleSheetLayoutView="85" workbookViewId="0">
      <selection activeCell="A2" sqref="A2"/>
    </sheetView>
  </sheetViews>
  <sheetFormatPr defaultRowHeight="15"/>
  <cols>
    <col min="1" max="1" width="6" style="76" customWidth="1"/>
    <col min="2" max="2" width="1.44140625" style="76" customWidth="1"/>
    <col min="3" max="3" width="41.109375" style="76" customWidth="1"/>
    <col min="4" max="4" width="34.5546875" style="76" customWidth="1"/>
    <col min="5" max="5" width="15.109375" style="76" customWidth="1"/>
    <col min="6" max="6" width="7.88671875" style="76" customWidth="1"/>
    <col min="7" max="7" width="11.88671875" style="76" bestFit="1" customWidth="1"/>
    <col min="8" max="8" width="14" style="76" customWidth="1"/>
    <col min="9" max="9" width="4.88671875" style="76" customWidth="1"/>
    <col min="10" max="10" width="14.109375" style="76" customWidth="1"/>
    <col min="11" max="11" width="0.109375" style="76" customWidth="1"/>
    <col min="12" max="12" width="14.44140625" style="76" bestFit="1" customWidth="1"/>
    <col min="13" max="15" width="13.44140625" style="76" bestFit="1" customWidth="1"/>
    <col min="16" max="16384" width="8.88671875" style="76"/>
  </cols>
  <sheetData>
    <row r="1" spans="1:40">
      <c r="I1" s="201" t="s">
        <v>417</v>
      </c>
      <c r="J1" s="202">
        <v>44712</v>
      </c>
    </row>
    <row r="2" spans="1:40" ht="15.75">
      <c r="A2" s="3"/>
      <c r="B2" s="3"/>
      <c r="C2" s="3"/>
      <c r="D2" s="48"/>
      <c r="E2" s="3"/>
      <c r="F2" s="3"/>
      <c r="G2" s="3"/>
      <c r="I2" s="169" t="s">
        <v>166</v>
      </c>
      <c r="J2" s="75">
        <v>2021</v>
      </c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</row>
    <row r="4" spans="1:40" ht="15" customHeight="1">
      <c r="A4" s="318" t="s">
        <v>321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</row>
    <row r="5" spans="1:40" ht="15.75">
      <c r="A5" s="319" t="s">
        <v>195</v>
      </c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</row>
    <row r="6" spans="1:40">
      <c r="A6" s="3"/>
      <c r="B6" s="3"/>
      <c r="C6" s="75"/>
      <c r="D6" s="75"/>
      <c r="F6" s="75"/>
      <c r="G6" s="75"/>
      <c r="H6" s="75"/>
      <c r="I6" s="75"/>
      <c r="J6" s="75"/>
      <c r="K6" s="75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</row>
    <row r="7" spans="1:40" ht="15" customHeight="1">
      <c r="A7" s="320" t="s">
        <v>320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>
      <c r="A8" s="9"/>
      <c r="B8" s="3"/>
      <c r="C8" s="75"/>
      <c r="D8" s="75"/>
      <c r="E8" s="173"/>
      <c r="F8" s="75"/>
      <c r="G8" s="75"/>
      <c r="H8" s="75"/>
      <c r="I8" s="75"/>
      <c r="J8" s="75"/>
      <c r="K8" s="75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</row>
    <row r="9" spans="1:40">
      <c r="A9" s="3"/>
      <c r="B9" s="3"/>
      <c r="C9" s="174" t="s">
        <v>201</v>
      </c>
      <c r="D9" s="174" t="s">
        <v>202</v>
      </c>
      <c r="E9" s="174" t="s">
        <v>203</v>
      </c>
      <c r="F9" s="1" t="s">
        <v>194</v>
      </c>
      <c r="G9" s="1"/>
      <c r="H9" s="204" t="s">
        <v>204</v>
      </c>
      <c r="I9" s="1"/>
      <c r="J9" s="205" t="s">
        <v>205</v>
      </c>
      <c r="K9" s="1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</row>
    <row r="10" spans="1:40" ht="15.75">
      <c r="A10" s="3"/>
      <c r="B10" s="3"/>
      <c r="C10" s="97"/>
      <c r="D10" s="172" t="s">
        <v>206</v>
      </c>
      <c r="E10" s="1"/>
      <c r="F10" s="1"/>
      <c r="G10" s="206" t="s">
        <v>93</v>
      </c>
      <c r="H10" s="9"/>
      <c r="I10" s="1"/>
      <c r="J10" s="171" t="s">
        <v>207</v>
      </c>
      <c r="K10" s="1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</row>
    <row r="11" spans="1:40" ht="15.75">
      <c r="A11" s="9" t="s">
        <v>196</v>
      </c>
      <c r="B11" s="3"/>
      <c r="C11" s="97"/>
      <c r="D11" s="175" t="s">
        <v>208</v>
      </c>
      <c r="E11" s="171" t="s">
        <v>209</v>
      </c>
      <c r="F11" s="176"/>
      <c r="G11" s="207" t="s">
        <v>83</v>
      </c>
      <c r="H11" s="208"/>
      <c r="I11" s="176"/>
      <c r="J11" s="9" t="s">
        <v>210</v>
      </c>
      <c r="K11" s="1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</row>
    <row r="12" spans="1:40" ht="16.5" thickBot="1">
      <c r="A12" s="178" t="s">
        <v>197</v>
      </c>
      <c r="B12" s="3"/>
      <c r="C12" s="179" t="s">
        <v>211</v>
      </c>
      <c r="D12" s="1"/>
      <c r="E12" s="1"/>
      <c r="F12" s="1"/>
      <c r="G12" s="1"/>
      <c r="H12" s="1"/>
      <c r="I12" s="1"/>
      <c r="J12" s="1"/>
      <c r="K12" s="1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</row>
    <row r="13" spans="1:40">
      <c r="A13" s="9"/>
      <c r="B13" s="3"/>
      <c r="C13" s="97"/>
      <c r="D13" s="1"/>
      <c r="E13" s="1"/>
      <c r="F13" s="1"/>
      <c r="G13" s="1"/>
      <c r="H13" s="1"/>
      <c r="I13" s="1"/>
      <c r="J13" s="1"/>
      <c r="K13" s="1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</row>
    <row r="14" spans="1:40">
      <c r="A14" s="9"/>
      <c r="B14" s="3"/>
      <c r="C14" s="97" t="s">
        <v>212</v>
      </c>
      <c r="D14" s="1" t="s">
        <v>418</v>
      </c>
      <c r="E14" s="1"/>
      <c r="F14" s="1"/>
      <c r="G14" s="1"/>
      <c r="H14" s="1"/>
      <c r="I14" s="1"/>
      <c r="J14" s="1"/>
      <c r="K14" s="1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</row>
    <row r="15" spans="1:40">
      <c r="A15" s="9">
        <v>1</v>
      </c>
      <c r="B15" s="3"/>
      <c r="C15" s="97" t="s">
        <v>213</v>
      </c>
      <c r="D15" s="1" t="s">
        <v>73</v>
      </c>
      <c r="E15" s="1">
        <f>+'WP6 Rate Base'!R15</f>
        <v>670305198.52307701</v>
      </c>
      <c r="F15" s="1"/>
      <c r="G15" s="1" t="s">
        <v>214</v>
      </c>
      <c r="H15" s="209" t="s">
        <v>194</v>
      </c>
      <c r="I15" s="1"/>
      <c r="J15" s="1" t="s">
        <v>194</v>
      </c>
      <c r="K15" s="1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</row>
    <row r="16" spans="1:40">
      <c r="A16" s="9">
        <f>+A15+1</f>
        <v>2</v>
      </c>
      <c r="B16" s="3"/>
      <c r="C16" s="97" t="s">
        <v>215</v>
      </c>
      <c r="D16" s="1" t="s">
        <v>120</v>
      </c>
      <c r="E16" s="1">
        <f>+'WP6 Rate Base'!R16</f>
        <v>247921012.02153847</v>
      </c>
      <c r="F16" s="1"/>
      <c r="G16" s="1" t="s">
        <v>200</v>
      </c>
      <c r="H16" s="209">
        <f>+J143</f>
        <v>0.83472000000000002</v>
      </c>
      <c r="I16" s="1"/>
      <c r="J16" s="1">
        <f>+H16*E16</f>
        <v>206944627.15461859</v>
      </c>
      <c r="K16" s="1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</row>
    <row r="17" spans="1:40">
      <c r="A17" s="9">
        <f t="shared" ref="A17:A62" si="0">+A16+1</f>
        <v>3</v>
      </c>
      <c r="B17" s="3"/>
      <c r="C17" s="97" t="s">
        <v>216</v>
      </c>
      <c r="D17" s="1" t="s">
        <v>121</v>
      </c>
      <c r="E17" s="1">
        <f>+'WP6 Rate Base'!R17</f>
        <v>480906541.37538469</v>
      </c>
      <c r="F17" s="1"/>
      <c r="G17" s="1" t="s">
        <v>214</v>
      </c>
      <c r="H17" s="210"/>
      <c r="I17" s="1"/>
      <c r="J17" s="1"/>
      <c r="K17" s="1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</row>
    <row r="18" spans="1:40">
      <c r="A18" s="9">
        <f t="shared" si="0"/>
        <v>4</v>
      </c>
      <c r="B18" s="3"/>
      <c r="C18" s="97" t="s">
        <v>217</v>
      </c>
      <c r="D18" s="1" t="s">
        <v>419</v>
      </c>
      <c r="E18" s="1">
        <f>+'WP6 Rate Base'!R18</f>
        <v>61669606.544615358</v>
      </c>
      <c r="F18" s="1"/>
      <c r="G18" s="1" t="s">
        <v>218</v>
      </c>
      <c r="H18" s="209">
        <f>J175</f>
        <v>0.11183967354767037</v>
      </c>
      <c r="I18" s="1"/>
      <c r="J18" s="1">
        <f>+H18*E18</f>
        <v>6897108.6637630574</v>
      </c>
      <c r="K18" s="1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</row>
    <row r="19" spans="1:40">
      <c r="A19" s="9">
        <f t="shared" si="0"/>
        <v>5</v>
      </c>
      <c r="B19" s="3"/>
      <c r="C19" s="97" t="s">
        <v>137</v>
      </c>
      <c r="D19" s="1" t="s">
        <v>420</v>
      </c>
      <c r="E19" s="1">
        <f>+'WP6 Rate Base'!R19</f>
        <v>26789850.564340923</v>
      </c>
      <c r="F19" s="1"/>
      <c r="G19" s="1" t="s">
        <v>218</v>
      </c>
      <c r="H19" s="209">
        <f>+H18</f>
        <v>0.11183967354767037</v>
      </c>
      <c r="I19" s="1"/>
      <c r="J19" s="1">
        <f>+H19*E19</f>
        <v>2996168.1415067618</v>
      </c>
      <c r="K19" s="1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</row>
    <row r="20" spans="1:40">
      <c r="A20" s="9">
        <f t="shared" si="0"/>
        <v>6</v>
      </c>
      <c r="B20" s="3"/>
      <c r="C20" s="97" t="s">
        <v>102</v>
      </c>
      <c r="D20" s="1" t="s">
        <v>419</v>
      </c>
      <c r="E20" s="1">
        <f>+'WP6 Rate Base'!R20</f>
        <v>7147585.7823076909</v>
      </c>
      <c r="F20" s="1"/>
      <c r="G20" s="1" t="s">
        <v>131</v>
      </c>
      <c r="H20" s="209">
        <f>+J181</f>
        <v>0.3212696059657868</v>
      </c>
      <c r="I20" s="1"/>
      <c r="J20" s="1">
        <f>+H20*E20</f>
        <v>2296302.067888652</v>
      </c>
      <c r="K20" s="1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</row>
    <row r="21" spans="1:40" ht="15.75" thickBot="1">
      <c r="A21" s="9">
        <f t="shared" si="0"/>
        <v>7</v>
      </c>
      <c r="B21" s="3"/>
      <c r="C21" s="97" t="s">
        <v>219</v>
      </c>
      <c r="D21" s="1" t="s">
        <v>220</v>
      </c>
      <c r="E21" s="4">
        <f>+'WP6 Rate Base'!R21</f>
        <v>0</v>
      </c>
      <c r="F21" s="1"/>
      <c r="G21" s="1" t="s">
        <v>251</v>
      </c>
      <c r="H21" s="209">
        <v>0</v>
      </c>
      <c r="I21" s="1"/>
      <c r="J21" s="4">
        <f>+H21*E21</f>
        <v>0</v>
      </c>
      <c r="K21" s="1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</row>
    <row r="22" spans="1:40">
      <c r="A22" s="9">
        <f t="shared" si="0"/>
        <v>8</v>
      </c>
      <c r="B22" s="3"/>
      <c r="C22" s="96" t="s">
        <v>5</v>
      </c>
      <c r="D22" s="1" t="str">
        <f>"(sum lines "&amp;A15&amp;" - "&amp;A21&amp;")"</f>
        <v>(sum lines 1 - 7)</v>
      </c>
      <c r="E22" s="1">
        <f>SUM(E15:E21)</f>
        <v>1494739794.8112638</v>
      </c>
      <c r="F22" s="1"/>
      <c r="G22" s="1" t="s">
        <v>221</v>
      </c>
      <c r="H22" s="211">
        <f>IF(E22&gt;0,+J22/E22,0)</f>
        <v>0.14660358062885884</v>
      </c>
      <c r="I22" s="1"/>
      <c r="J22" s="1">
        <f>SUM(J15:J21)</f>
        <v>219134206.02777705</v>
      </c>
      <c r="K22" s="1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</row>
    <row r="23" spans="1:40">
      <c r="A23" s="9">
        <f t="shared" si="0"/>
        <v>9</v>
      </c>
      <c r="B23" s="3"/>
      <c r="C23" s="97"/>
      <c r="D23" s="1"/>
      <c r="E23" s="1"/>
      <c r="F23" s="1"/>
      <c r="G23" s="1"/>
      <c r="H23" s="211"/>
      <c r="I23" s="1"/>
      <c r="J23" s="1"/>
      <c r="K23" s="1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</row>
    <row r="24" spans="1:40">
      <c r="A24" s="9">
        <f t="shared" si="0"/>
        <v>10</v>
      </c>
      <c r="B24" s="3"/>
      <c r="C24" s="97" t="s">
        <v>222</v>
      </c>
      <c r="D24" s="1" t="s">
        <v>418</v>
      </c>
      <c r="E24" s="1"/>
      <c r="F24" s="1"/>
      <c r="G24" s="1"/>
      <c r="H24" s="1"/>
      <c r="I24" s="1"/>
      <c r="J24" s="1"/>
      <c r="K24" s="1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</row>
    <row r="25" spans="1:40">
      <c r="A25" s="9">
        <f t="shared" si="0"/>
        <v>11</v>
      </c>
      <c r="B25" s="3"/>
      <c r="C25" s="97" t="str">
        <f>+C15</f>
        <v xml:space="preserve">  Production</v>
      </c>
      <c r="D25" s="1" t="s">
        <v>407</v>
      </c>
      <c r="E25" s="1">
        <f>+'WP6 Rate Base'!R25</f>
        <v>227805425.19629985</v>
      </c>
      <c r="F25" s="1"/>
      <c r="G25" s="1" t="str">
        <f>+G15</f>
        <v>NA</v>
      </c>
      <c r="H25" s="209" t="str">
        <f>+H15</f>
        <v xml:space="preserve"> </v>
      </c>
      <c r="I25" s="1"/>
      <c r="J25" s="1" t="s">
        <v>194</v>
      </c>
      <c r="K25" s="1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</row>
    <row r="26" spans="1:40">
      <c r="A26" s="9">
        <f t="shared" si="0"/>
        <v>12</v>
      </c>
      <c r="B26" s="3"/>
      <c r="C26" s="97" t="s">
        <v>215</v>
      </c>
      <c r="D26" s="1" t="s">
        <v>122</v>
      </c>
      <c r="E26" s="1">
        <f>+'WP6 Rate Base'!R26</f>
        <v>47130771.210981689</v>
      </c>
      <c r="F26" s="1"/>
      <c r="G26" s="1" t="s">
        <v>80</v>
      </c>
      <c r="H26" s="209">
        <f>+J161</f>
        <v>0.82044899999999998</v>
      </c>
      <c r="I26" s="1"/>
      <c r="J26" s="1">
        <f>+H26*E26</f>
        <v>38668394.109278716</v>
      </c>
      <c r="K26" s="1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</row>
    <row r="27" spans="1:40">
      <c r="A27" s="9">
        <f t="shared" si="0"/>
        <v>13</v>
      </c>
      <c r="B27" s="3"/>
      <c r="C27" s="97" t="s">
        <v>216</v>
      </c>
      <c r="D27" s="1" t="s">
        <v>123</v>
      </c>
      <c r="E27" s="1">
        <f>+'WP6 Rate Base'!R27</f>
        <v>160005259.87232211</v>
      </c>
      <c r="F27" s="1"/>
      <c r="G27" s="1" t="s">
        <v>214</v>
      </c>
      <c r="H27" s="209"/>
      <c r="I27" s="1"/>
      <c r="J27" s="1"/>
      <c r="K27" s="1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</row>
    <row r="28" spans="1:40">
      <c r="A28" s="9">
        <f t="shared" si="0"/>
        <v>14</v>
      </c>
      <c r="B28" s="3"/>
      <c r="C28" s="97" t="str">
        <f>+C18</f>
        <v xml:space="preserve">  General &amp; Intangible</v>
      </c>
      <c r="D28" s="1" t="s">
        <v>406</v>
      </c>
      <c r="E28" s="1">
        <f>+'WP6 Rate Base'!R28</f>
        <v>27343762.242176048</v>
      </c>
      <c r="F28" s="1"/>
      <c r="G28" s="1" t="str">
        <f>+G18</f>
        <v>W/S</v>
      </c>
      <c r="H28" s="209">
        <f>+H18</f>
        <v>0.11183967354767037</v>
      </c>
      <c r="I28" s="1"/>
      <c r="J28" s="1">
        <f>+H28*E28</f>
        <v>3058117.4427300845</v>
      </c>
      <c r="K28" s="1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</row>
    <row r="29" spans="1:40">
      <c r="A29" s="9">
        <f t="shared" si="0"/>
        <v>15</v>
      </c>
      <c r="B29" s="3"/>
      <c r="C29" s="97" t="s">
        <v>137</v>
      </c>
      <c r="D29" s="1" t="s">
        <v>420</v>
      </c>
      <c r="E29" s="1">
        <f>+'WP6 Rate Base'!R29</f>
        <v>3379421.8336362895</v>
      </c>
      <c r="F29" s="1"/>
      <c r="G29" s="1" t="str">
        <f>+G19</f>
        <v>W/S</v>
      </c>
      <c r="H29" s="209">
        <f>+H28</f>
        <v>0.11183967354767037</v>
      </c>
      <c r="I29" s="1"/>
      <c r="J29" s="1">
        <f>+H29*E29</f>
        <v>377953.43465375219</v>
      </c>
      <c r="K29" s="1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</row>
    <row r="30" spans="1:40">
      <c r="A30" s="9">
        <f t="shared" si="0"/>
        <v>16</v>
      </c>
      <c r="B30" s="3"/>
      <c r="C30" s="97" t="str">
        <f>+C20</f>
        <v xml:space="preserve">  Communication System</v>
      </c>
      <c r="D30" s="1" t="s">
        <v>419</v>
      </c>
      <c r="E30" s="1">
        <f>+'WP6 Rate Base'!R30</f>
        <v>4711956.8103790144</v>
      </c>
      <c r="F30" s="1"/>
      <c r="G30" s="1" t="str">
        <f>+G20</f>
        <v>T&amp;D</v>
      </c>
      <c r="H30" s="209">
        <f>+H20</f>
        <v>0.3212696059657868</v>
      </c>
      <c r="I30" s="1"/>
      <c r="J30" s="1">
        <f>+H30*E30</f>
        <v>1513808.5077982715</v>
      </c>
      <c r="K30" s="1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15.75" thickBot="1">
      <c r="A31" s="9">
        <f t="shared" si="0"/>
        <v>17</v>
      </c>
      <c r="B31" s="3"/>
      <c r="C31" s="97" t="str">
        <f>+C21</f>
        <v xml:space="preserve">  Common</v>
      </c>
      <c r="D31" s="1" t="s">
        <v>220</v>
      </c>
      <c r="E31" s="4">
        <f>+'WP6 Rate Base'!R31</f>
        <v>0</v>
      </c>
      <c r="F31" s="1"/>
      <c r="G31" s="1" t="str">
        <f>+G21</f>
        <v>CE</v>
      </c>
      <c r="H31" s="209">
        <f>+H21</f>
        <v>0</v>
      </c>
      <c r="I31" s="1"/>
      <c r="J31" s="4">
        <f>+H31*E31</f>
        <v>0</v>
      </c>
      <c r="K31" s="1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</row>
    <row r="32" spans="1:40">
      <c r="A32" s="9">
        <f t="shared" si="0"/>
        <v>18</v>
      </c>
      <c r="B32" s="3"/>
      <c r="C32" s="97" t="s">
        <v>7</v>
      </c>
      <c r="D32" s="1" t="str">
        <f>"(sum lines "&amp;A25&amp;" - "&amp;A31&amp;")"</f>
        <v>(sum lines 11 - 17)</v>
      </c>
      <c r="E32" s="1">
        <f>SUM(E25:E31)</f>
        <v>470376597.16579497</v>
      </c>
      <c r="F32" s="1"/>
      <c r="G32" s="1"/>
      <c r="H32" s="1"/>
      <c r="I32" s="1"/>
      <c r="J32" s="1">
        <f>SUM(J25:J31)</f>
        <v>43618273.494460821</v>
      </c>
      <c r="K32" s="1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</row>
    <row r="33" spans="1:40">
      <c r="A33" s="9">
        <f t="shared" si="0"/>
        <v>19</v>
      </c>
      <c r="B33" s="3"/>
      <c r="C33" s="3"/>
      <c r="D33" s="1" t="s">
        <v>194</v>
      </c>
      <c r="E33" s="3"/>
      <c r="F33" s="1"/>
      <c r="G33" s="1"/>
      <c r="H33" s="211"/>
      <c r="I33" s="1"/>
      <c r="J33" s="3"/>
      <c r="K33" s="1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</row>
    <row r="34" spans="1:40">
      <c r="A34" s="9">
        <f t="shared" si="0"/>
        <v>20</v>
      </c>
      <c r="B34" s="3"/>
      <c r="C34" s="97" t="s">
        <v>223</v>
      </c>
      <c r="D34" s="1" t="s">
        <v>418</v>
      </c>
      <c r="E34" s="1"/>
      <c r="F34" s="1"/>
      <c r="G34" s="1"/>
      <c r="H34" s="1"/>
      <c r="I34" s="1"/>
      <c r="J34" s="1"/>
      <c r="K34" s="1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</row>
    <row r="35" spans="1:40">
      <c r="A35" s="9">
        <f t="shared" si="0"/>
        <v>21</v>
      </c>
      <c r="B35" s="3"/>
      <c r="C35" s="97" t="str">
        <f>+C25</f>
        <v xml:space="preserve">  Production</v>
      </c>
      <c r="D35" s="1" t="str">
        <f t="shared" ref="D35:D41" si="1">"(line "&amp;A15&amp;" - line "&amp;A25&amp;")"</f>
        <v>(line 1 - line 11)</v>
      </c>
      <c r="E35" s="1">
        <f t="shared" ref="E35:E42" si="2">E15-E25</f>
        <v>442499773.32677716</v>
      </c>
      <c r="F35" s="1"/>
      <c r="G35" s="1" t="s">
        <v>91</v>
      </c>
      <c r="H35" s="211"/>
      <c r="I35" s="1"/>
      <c r="J35" s="1" t="s">
        <v>194</v>
      </c>
      <c r="K35" s="1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</row>
    <row r="36" spans="1:40">
      <c r="A36" s="9">
        <f t="shared" si="0"/>
        <v>22</v>
      </c>
      <c r="B36" s="3"/>
      <c r="C36" s="97" t="s">
        <v>215</v>
      </c>
      <c r="D36" s="1" t="str">
        <f t="shared" si="1"/>
        <v>(line 2 - line 12)</v>
      </c>
      <c r="E36" s="1">
        <f t="shared" si="2"/>
        <v>200790240.81055677</v>
      </c>
      <c r="F36" s="1"/>
      <c r="G36" s="1" t="s">
        <v>91</v>
      </c>
      <c r="H36" s="209"/>
      <c r="I36" s="1"/>
      <c r="J36" s="1">
        <f>J16-J26</f>
        <v>168276233.04533988</v>
      </c>
      <c r="K36" s="1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</row>
    <row r="37" spans="1:40">
      <c r="A37" s="9">
        <f t="shared" si="0"/>
        <v>23</v>
      </c>
      <c r="B37" s="3"/>
      <c r="C37" s="97" t="s">
        <v>297</v>
      </c>
      <c r="D37" s="1" t="str">
        <f t="shared" si="1"/>
        <v>(line 3 - line 13)</v>
      </c>
      <c r="E37" s="1">
        <f t="shared" si="2"/>
        <v>320901281.50306261</v>
      </c>
      <c r="F37" s="1"/>
      <c r="G37" s="1" t="s">
        <v>91</v>
      </c>
      <c r="H37" s="211"/>
      <c r="I37" s="1"/>
      <c r="J37" s="1"/>
      <c r="K37" s="1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</row>
    <row r="38" spans="1:40">
      <c r="A38" s="9">
        <f t="shared" si="0"/>
        <v>24</v>
      </c>
      <c r="B38" s="3"/>
      <c r="C38" s="97" t="str">
        <f>+C28</f>
        <v xml:space="preserve">  General &amp; Intangible</v>
      </c>
      <c r="D38" s="1" t="str">
        <f t="shared" si="1"/>
        <v>(line 4 - line 14)</v>
      </c>
      <c r="E38" s="1">
        <f t="shared" si="2"/>
        <v>34325844.30243931</v>
      </c>
      <c r="F38" s="1"/>
      <c r="G38" s="1" t="s">
        <v>91</v>
      </c>
      <c r="H38" s="211"/>
      <c r="I38" s="1"/>
      <c r="J38" s="1">
        <f>J18-J28</f>
        <v>3838991.2210329729</v>
      </c>
      <c r="K38" s="1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</row>
    <row r="39" spans="1:40">
      <c r="A39" s="9">
        <f t="shared" si="0"/>
        <v>25</v>
      </c>
      <c r="B39" s="3"/>
      <c r="C39" s="97" t="s">
        <v>137</v>
      </c>
      <c r="D39" s="1" t="str">
        <f t="shared" si="1"/>
        <v>(line 5 - line 15)</v>
      </c>
      <c r="E39" s="1">
        <f t="shared" si="2"/>
        <v>23410428.730704635</v>
      </c>
      <c r="F39" s="1"/>
      <c r="G39" s="1" t="s">
        <v>91</v>
      </c>
      <c r="H39" s="211"/>
      <c r="I39" s="1"/>
      <c r="J39" s="1">
        <f>J19-J29</f>
        <v>2618214.7068530098</v>
      </c>
      <c r="K39" s="1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3"/>
    </row>
    <row r="40" spans="1:40">
      <c r="A40" s="9">
        <f t="shared" si="0"/>
        <v>26</v>
      </c>
      <c r="B40" s="3"/>
      <c r="C40" s="97" t="str">
        <f>+C30</f>
        <v xml:space="preserve">  Communication System</v>
      </c>
      <c r="D40" s="1" t="str">
        <f t="shared" si="1"/>
        <v>(line 6 - line 16)</v>
      </c>
      <c r="E40" s="1">
        <f t="shared" si="2"/>
        <v>2435628.9719286766</v>
      </c>
      <c r="F40" s="1"/>
      <c r="G40" s="1" t="s">
        <v>91</v>
      </c>
      <c r="H40" s="211"/>
      <c r="I40" s="1"/>
      <c r="J40" s="1">
        <f>J20-J30</f>
        <v>782493.56009038049</v>
      </c>
      <c r="K40" s="1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</row>
    <row r="41" spans="1:40" ht="15.75" thickBot="1">
      <c r="A41" s="9">
        <f t="shared" si="0"/>
        <v>27</v>
      </c>
      <c r="B41" s="3"/>
      <c r="C41" s="97" t="str">
        <f>+C31</f>
        <v xml:space="preserve">  Common</v>
      </c>
      <c r="D41" s="1" t="str">
        <f t="shared" si="1"/>
        <v>(line 7 - line 17)</v>
      </c>
      <c r="E41" s="4">
        <f t="shared" si="2"/>
        <v>0</v>
      </c>
      <c r="F41" s="1"/>
      <c r="G41" s="1" t="s">
        <v>91</v>
      </c>
      <c r="H41" s="211"/>
      <c r="I41" s="1"/>
      <c r="J41" s="4">
        <f>J21-J31</f>
        <v>0</v>
      </c>
      <c r="K41" s="1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</row>
    <row r="42" spans="1:40">
      <c r="A42" s="9">
        <f t="shared" si="0"/>
        <v>28</v>
      </c>
      <c r="B42" s="3"/>
      <c r="C42" s="97" t="s">
        <v>6</v>
      </c>
      <c r="D42" s="1" t="str">
        <f>"(sum lines "&amp;A35&amp;" - "&amp;A41&amp;")"</f>
        <v>(sum lines 21 - 27)</v>
      </c>
      <c r="E42" s="1">
        <f t="shared" si="2"/>
        <v>1024363197.6454688</v>
      </c>
      <c r="F42" s="1"/>
      <c r="G42" s="1" t="s">
        <v>224</v>
      </c>
      <c r="H42" s="211">
        <f>IF(E42&gt;0,+J42/E42,0)</f>
        <v>0.17134150556828395</v>
      </c>
      <c r="I42" s="1"/>
      <c r="J42" s="1">
        <f>SUM(J35:J41)</f>
        <v>175515932.53331625</v>
      </c>
      <c r="K42" s="1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</row>
    <row r="43" spans="1:40">
      <c r="A43" s="9">
        <f t="shared" si="0"/>
        <v>29</v>
      </c>
      <c r="B43" s="3"/>
      <c r="C43" s="3"/>
      <c r="D43" s="1"/>
      <c r="E43" s="19"/>
      <c r="F43" s="1"/>
      <c r="G43" s="3"/>
      <c r="H43" s="3"/>
      <c r="I43" s="1"/>
      <c r="J43" s="3"/>
      <c r="K43" s="1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</row>
    <row r="44" spans="1:40">
      <c r="A44" s="9">
        <f t="shared" si="0"/>
        <v>30</v>
      </c>
      <c r="B44" s="3"/>
      <c r="C44" s="96" t="s">
        <v>39</v>
      </c>
      <c r="D44" s="1" t="s">
        <v>421</v>
      </c>
      <c r="E44" s="1"/>
      <c r="F44" s="1"/>
      <c r="G44" s="1"/>
      <c r="H44" s="1"/>
      <c r="I44" s="1"/>
      <c r="J44" s="1"/>
      <c r="K44" s="1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</row>
    <row r="45" spans="1:40">
      <c r="A45" s="9">
        <f t="shared" si="0"/>
        <v>31</v>
      </c>
      <c r="B45" s="3"/>
      <c r="C45" s="97" t="s">
        <v>269</v>
      </c>
      <c r="D45" s="1" t="s">
        <v>225</v>
      </c>
      <c r="E45" s="19">
        <f>+'WP6 Rate Base'!G50</f>
        <v>0</v>
      </c>
      <c r="F45" s="1"/>
      <c r="G45" s="1" t="str">
        <f>+G25</f>
        <v>NA</v>
      </c>
      <c r="H45" s="212" t="s">
        <v>290</v>
      </c>
      <c r="I45" s="1"/>
      <c r="J45" s="19">
        <v>0</v>
      </c>
      <c r="K45" s="1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</row>
    <row r="46" spans="1:40">
      <c r="A46" s="9">
        <f t="shared" si="0"/>
        <v>32</v>
      </c>
      <c r="B46" s="3"/>
      <c r="C46" s="97" t="s">
        <v>270</v>
      </c>
      <c r="D46" s="1" t="s">
        <v>227</v>
      </c>
      <c r="E46" s="19">
        <f>+'WP6 Rate Base'!G51</f>
        <v>-136986236.12891909</v>
      </c>
      <c r="F46" s="1"/>
      <c r="G46" s="1" t="s">
        <v>226</v>
      </c>
      <c r="H46" s="209">
        <f>+H42</f>
        <v>0.17134150556828395</v>
      </c>
      <c r="I46" s="1"/>
      <c r="J46" s="19">
        <f>E46*H46</f>
        <v>-23471427.940461453</v>
      </c>
      <c r="K46" s="1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</row>
    <row r="47" spans="1:40">
      <c r="A47" s="9">
        <f t="shared" si="0"/>
        <v>33</v>
      </c>
      <c r="B47" s="3"/>
      <c r="C47" s="97" t="s">
        <v>271</v>
      </c>
      <c r="D47" s="1" t="s">
        <v>228</v>
      </c>
      <c r="E47" s="19">
        <f>+'WP6 Rate Base'!G52</f>
        <v>-18469296</v>
      </c>
      <c r="F47" s="1"/>
      <c r="G47" s="1" t="str">
        <f>+G46</f>
        <v>NP</v>
      </c>
      <c r="H47" s="209">
        <f>H42</f>
        <v>0.17134150556828395</v>
      </c>
      <c r="I47" s="1"/>
      <c r="J47" s="19">
        <f>E47*H47</f>
        <v>-3164556.9834262845</v>
      </c>
      <c r="K47" s="1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</row>
    <row r="48" spans="1:40">
      <c r="A48" s="9">
        <f t="shared" si="0"/>
        <v>34</v>
      </c>
      <c r="B48" s="3"/>
      <c r="C48" s="97" t="s">
        <v>273</v>
      </c>
      <c r="D48" s="1" t="s">
        <v>229</v>
      </c>
      <c r="E48" s="19">
        <f>+'WP6 Rate Base'!G53</f>
        <v>37738942.5</v>
      </c>
      <c r="F48" s="1"/>
      <c r="G48" s="1" t="str">
        <f>+G47</f>
        <v>NP</v>
      </c>
      <c r="H48" s="209">
        <f>+H47</f>
        <v>0.17134150556828395</v>
      </c>
      <c r="I48" s="1"/>
      <c r="J48" s="19">
        <f>E48*H48</f>
        <v>6466247.2265048977</v>
      </c>
      <c r="K48" s="1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</row>
    <row r="49" spans="1:40">
      <c r="A49" s="9">
        <f t="shared" si="0"/>
        <v>35</v>
      </c>
      <c r="B49" s="3"/>
      <c r="C49" s="3" t="s">
        <v>272</v>
      </c>
      <c r="D49" s="3" t="s">
        <v>124</v>
      </c>
      <c r="E49" s="19">
        <f>'WP6 Rate Base'!G54</f>
        <v>0</v>
      </c>
      <c r="F49" s="1"/>
      <c r="G49" s="1" t="str">
        <f>+G48</f>
        <v>NP</v>
      </c>
      <c r="H49" s="209">
        <f>+H47</f>
        <v>0.17134150556828395</v>
      </c>
      <c r="I49" s="1"/>
      <c r="J49" s="47">
        <f>E49*H49</f>
        <v>0</v>
      </c>
      <c r="K49" s="1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</row>
    <row r="50" spans="1:40" ht="15.75" thickBot="1">
      <c r="A50" s="9">
        <f t="shared" si="0"/>
        <v>36</v>
      </c>
      <c r="B50" s="3"/>
      <c r="C50" s="97" t="s">
        <v>292</v>
      </c>
      <c r="D50" s="3" t="s">
        <v>422</v>
      </c>
      <c r="E50" s="213">
        <f>+'WP6 Rate Base'!G55</f>
        <v>-93343907.373960704</v>
      </c>
      <c r="F50" s="1"/>
      <c r="G50" s="1" t="str">
        <f>+G49</f>
        <v>NP</v>
      </c>
      <c r="H50" s="209">
        <f>+H49</f>
        <v>0.17134150556828395</v>
      </c>
      <c r="I50" s="1"/>
      <c r="J50" s="213">
        <f>+H50*E50</f>
        <v>-15993685.625080869</v>
      </c>
      <c r="K50" s="1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</row>
    <row r="51" spans="1:40">
      <c r="A51" s="9">
        <f t="shared" si="0"/>
        <v>37</v>
      </c>
      <c r="B51" s="3"/>
      <c r="C51" s="97" t="s">
        <v>8</v>
      </c>
      <c r="D51" s="1" t="str">
        <f>"(sum lines "&amp;A45&amp;" - "&amp;A50&amp;")"</f>
        <v>(sum lines 31 - 36)</v>
      </c>
      <c r="E51" s="19">
        <f>SUM(E45:E50)</f>
        <v>-211060497.0028798</v>
      </c>
      <c r="F51" s="1"/>
      <c r="G51" s="1"/>
      <c r="H51" s="1"/>
      <c r="I51" s="1"/>
      <c r="J51" s="19">
        <f>SUM(J45:J50)</f>
        <v>-36163423.322463706</v>
      </c>
      <c r="K51" s="1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</row>
    <row r="52" spans="1:40">
      <c r="A52" s="9">
        <f t="shared" si="0"/>
        <v>38</v>
      </c>
      <c r="B52" s="3"/>
      <c r="C52" s="3"/>
      <c r="D52" s="1"/>
      <c r="E52" s="3"/>
      <c r="F52" s="1"/>
      <c r="G52" s="1"/>
      <c r="H52" s="211"/>
      <c r="I52" s="1"/>
      <c r="J52" s="3"/>
      <c r="K52" s="1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</row>
    <row r="53" spans="1:40">
      <c r="A53" s="9">
        <f t="shared" si="0"/>
        <v>39</v>
      </c>
      <c r="B53" s="3"/>
      <c r="C53" s="96" t="s">
        <v>230</v>
      </c>
      <c r="D53" s="1" t="s">
        <v>299</v>
      </c>
      <c r="E53" s="1">
        <f>+'WP6 Rate Base'!G58</f>
        <v>0</v>
      </c>
      <c r="F53" s="1"/>
      <c r="G53" s="1" t="s">
        <v>387</v>
      </c>
      <c r="H53" s="209">
        <v>0</v>
      </c>
      <c r="I53" s="1"/>
      <c r="J53" s="1">
        <f>+H53*E53</f>
        <v>0</v>
      </c>
      <c r="K53" s="1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</row>
    <row r="54" spans="1:40">
      <c r="A54" s="9">
        <f t="shared" si="0"/>
        <v>40</v>
      </c>
      <c r="B54" s="3"/>
      <c r="C54" s="97"/>
      <c r="D54" s="1"/>
      <c r="E54" s="1"/>
      <c r="F54" s="1"/>
      <c r="G54" s="1"/>
      <c r="H54" s="1"/>
      <c r="I54" s="1"/>
      <c r="J54" s="1"/>
      <c r="K54" s="1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03"/>
      <c r="AM54" s="203"/>
      <c r="AN54" s="203"/>
    </row>
    <row r="55" spans="1:40">
      <c r="A55" s="9">
        <f t="shared" si="0"/>
        <v>41</v>
      </c>
      <c r="B55" s="3"/>
      <c r="C55" s="97" t="s">
        <v>298</v>
      </c>
      <c r="D55" s="1" t="s">
        <v>194</v>
      </c>
      <c r="E55" s="1"/>
      <c r="F55" s="1"/>
      <c r="G55" s="1"/>
      <c r="H55" s="1"/>
      <c r="I55" s="1"/>
      <c r="J55" s="1"/>
      <c r="K55" s="1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</row>
    <row r="56" spans="1:40">
      <c r="A56" s="9">
        <f t="shared" si="0"/>
        <v>42</v>
      </c>
      <c r="B56" s="3"/>
      <c r="C56" s="97" t="s">
        <v>289</v>
      </c>
      <c r="D56" s="3" t="str">
        <f>"(1/8 * line "&amp;A85&amp;")"</f>
        <v>(1/8 * line 58)</v>
      </c>
      <c r="E56" s="1">
        <f>+E85/8</f>
        <v>4026969.2475000001</v>
      </c>
      <c r="F56" s="1"/>
      <c r="G56" s="1" t="s">
        <v>91</v>
      </c>
      <c r="H56" s="211"/>
      <c r="I56" s="1"/>
      <c r="J56" s="1">
        <f>+J85/8</f>
        <v>643051.99310408055</v>
      </c>
      <c r="K56" s="75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</row>
    <row r="57" spans="1:40">
      <c r="A57" s="9">
        <f t="shared" si="0"/>
        <v>43</v>
      </c>
      <c r="B57" s="3"/>
      <c r="C57" s="97" t="s">
        <v>358</v>
      </c>
      <c r="D57" s="1" t="s">
        <v>134</v>
      </c>
      <c r="E57" s="1">
        <f>+'WP6 Rate Base'!G62</f>
        <v>6352144</v>
      </c>
      <c r="F57" s="1"/>
      <c r="G57" s="1" t="s">
        <v>131</v>
      </c>
      <c r="H57" s="209">
        <f>+J181</f>
        <v>0.3212696059657868</v>
      </c>
      <c r="I57" s="1"/>
      <c r="J57" s="1">
        <f>+H57*E57</f>
        <v>2040750.7999179368</v>
      </c>
      <c r="K57" s="1" t="s">
        <v>194</v>
      </c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</row>
    <row r="58" spans="1:40">
      <c r="A58" s="9">
        <f t="shared" si="0"/>
        <v>44</v>
      </c>
      <c r="B58" s="3"/>
      <c r="C58" s="97" t="s">
        <v>358</v>
      </c>
      <c r="D58" s="1" t="s">
        <v>133</v>
      </c>
      <c r="E58" s="1">
        <f>+'WP6 Rate Base'!G63</f>
        <v>21082.041936920701</v>
      </c>
      <c r="F58" s="1"/>
      <c r="G58" s="1" t="s">
        <v>200</v>
      </c>
      <c r="H58" s="209">
        <f>+J143</f>
        <v>0.83472000000000002</v>
      </c>
      <c r="I58" s="1"/>
      <c r="J58" s="1">
        <f>+H58*E58</f>
        <v>17597.602045586449</v>
      </c>
      <c r="K58" s="1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</row>
    <row r="59" spans="1:40" ht="15.75" thickBot="1">
      <c r="A59" s="9">
        <f t="shared" si="0"/>
        <v>45</v>
      </c>
      <c r="B59" s="3"/>
      <c r="C59" s="97" t="s">
        <v>274</v>
      </c>
      <c r="D59" s="1" t="s">
        <v>423</v>
      </c>
      <c r="E59" s="214">
        <f>+'WP6 Rate Base'!G64</f>
        <v>3832905.5</v>
      </c>
      <c r="F59" s="1"/>
      <c r="G59" s="1" t="s">
        <v>231</v>
      </c>
      <c r="H59" s="209">
        <f>+H22</f>
        <v>0.14660358062885884</v>
      </c>
      <c r="I59" s="1"/>
      <c r="J59" s="4">
        <f>+H59*E59</f>
        <v>561917.67051204655</v>
      </c>
      <c r="K59" s="1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</row>
    <row r="60" spans="1:40">
      <c r="A60" s="9">
        <f t="shared" si="0"/>
        <v>46</v>
      </c>
      <c r="B60" s="3"/>
      <c r="C60" s="97" t="s">
        <v>9</v>
      </c>
      <c r="D60" s="1" t="str">
        <f>"(sum lines "&amp;A56&amp;" - "&amp;A59&amp;")"</f>
        <v>(sum lines 42 - 45)</v>
      </c>
      <c r="E60" s="1">
        <f>SUM(E56:E59)</f>
        <v>14233100.789436921</v>
      </c>
      <c r="F60" s="75"/>
      <c r="G60" s="75"/>
      <c r="H60" s="75"/>
      <c r="I60" s="75"/>
      <c r="J60" s="1">
        <f>SUM(J56:J59)</f>
        <v>3263318.0655796505</v>
      </c>
      <c r="K60" s="75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</row>
    <row r="61" spans="1:40" ht="15.75" thickBot="1">
      <c r="A61" s="9">
        <f t="shared" si="0"/>
        <v>47</v>
      </c>
      <c r="B61" s="3"/>
      <c r="C61" s="3"/>
      <c r="D61" s="1"/>
      <c r="E61" s="215"/>
      <c r="F61" s="1"/>
      <c r="G61" s="1"/>
      <c r="H61" s="1"/>
      <c r="I61" s="1"/>
      <c r="J61" s="216"/>
      <c r="K61" s="1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</row>
    <row r="62" spans="1:40" ht="15.75" thickBot="1">
      <c r="A62" s="9">
        <f t="shared" si="0"/>
        <v>48</v>
      </c>
      <c r="B62" s="3"/>
      <c r="C62" s="97" t="s">
        <v>10</v>
      </c>
      <c r="D62" s="1" t="str">
        <f>"(sum lines "&amp;A42&amp;", "&amp;A51&amp;", "&amp;A53&amp;", &amp; "&amp;A60&amp;")"</f>
        <v>(sum lines 28, 37, 39, &amp; 46)</v>
      </c>
      <c r="E62" s="217"/>
      <c r="F62" s="1"/>
      <c r="G62" s="1"/>
      <c r="H62" s="211"/>
      <c r="I62" s="1"/>
      <c r="J62" s="218">
        <f>+J60+J53+J51+J42</f>
        <v>142615827.27643219</v>
      </c>
      <c r="K62" s="1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</row>
    <row r="63" spans="1:40" ht="15.75" thickTop="1">
      <c r="A63" s="9"/>
      <c r="B63" s="3"/>
      <c r="C63" s="97"/>
      <c r="D63" s="1"/>
      <c r="E63" s="217"/>
      <c r="F63" s="1"/>
      <c r="G63" s="1"/>
      <c r="H63" s="211"/>
      <c r="I63" s="169" t="s">
        <v>417</v>
      </c>
      <c r="J63" s="219">
        <f>J1</f>
        <v>44712</v>
      </c>
      <c r="K63" s="1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</row>
    <row r="64" spans="1:40">
      <c r="A64" s="9"/>
      <c r="B64" s="3"/>
      <c r="C64" s="97"/>
      <c r="D64" s="1"/>
      <c r="E64" s="1"/>
      <c r="F64" s="1"/>
      <c r="G64" s="1"/>
      <c r="I64" s="169" t="str">
        <f>$I$2</f>
        <v>Service Year</v>
      </c>
      <c r="J64" s="75">
        <f>$J$2</f>
        <v>2021</v>
      </c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</row>
    <row r="65" spans="1:40">
      <c r="A65" s="9"/>
      <c r="B65" s="3"/>
      <c r="C65" s="97"/>
      <c r="D65" s="1"/>
      <c r="E65" s="1"/>
      <c r="F65" s="1"/>
      <c r="G65" s="1"/>
      <c r="H65" s="1"/>
      <c r="I65" s="1"/>
      <c r="J65" s="1"/>
      <c r="K65" s="1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</row>
    <row r="66" spans="1:40" ht="15.75">
      <c r="A66" s="318" t="s">
        <v>321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</row>
    <row r="67" spans="1:40" ht="15.75">
      <c r="A67" s="319" t="s">
        <v>195</v>
      </c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</row>
    <row r="68" spans="1:40">
      <c r="A68" s="3"/>
      <c r="B68" s="3"/>
      <c r="C68" s="75"/>
      <c r="D68" s="75"/>
      <c r="F68" s="75"/>
      <c r="G68" s="75"/>
      <c r="H68" s="75"/>
      <c r="I68" s="75"/>
      <c r="J68" s="75"/>
      <c r="K68" s="75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</row>
    <row r="69" spans="1:40" ht="15.75">
      <c r="A69" s="320" t="s">
        <v>320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>
      <c r="A70" s="9"/>
      <c r="B70" s="3"/>
      <c r="C70" s="174" t="s">
        <v>201</v>
      </c>
      <c r="D70" s="174" t="s">
        <v>202</v>
      </c>
      <c r="E70" s="174" t="s">
        <v>203</v>
      </c>
      <c r="F70" s="1" t="s">
        <v>194</v>
      </c>
      <c r="G70" s="1"/>
      <c r="H70" s="204" t="s">
        <v>204</v>
      </c>
      <c r="I70" s="1"/>
      <c r="J70" s="205" t="s">
        <v>205</v>
      </c>
      <c r="K70" s="1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</row>
    <row r="71" spans="1:40">
      <c r="A71" s="9"/>
      <c r="B71" s="3"/>
      <c r="C71" s="174"/>
      <c r="D71" s="2"/>
      <c r="E71" s="2"/>
      <c r="F71" s="2"/>
      <c r="G71" s="2"/>
      <c r="H71" s="2"/>
      <c r="I71" s="2"/>
      <c r="J71" s="2"/>
      <c r="K71" s="2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</row>
    <row r="72" spans="1:40" ht="15.75">
      <c r="A72" s="9" t="s">
        <v>196</v>
      </c>
      <c r="B72" s="3"/>
      <c r="C72" s="97"/>
      <c r="D72" s="172" t="s">
        <v>206</v>
      </c>
      <c r="E72" s="1"/>
      <c r="F72" s="1"/>
      <c r="G72" s="176" t="str">
        <f>+G10</f>
        <v xml:space="preserve">      Allocator</v>
      </c>
      <c r="H72" s="9"/>
      <c r="I72" s="1"/>
      <c r="J72" s="171" t="s">
        <v>207</v>
      </c>
      <c r="K72" s="1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</row>
    <row r="73" spans="1:40" ht="16.5" thickBot="1">
      <c r="A73" s="178" t="s">
        <v>197</v>
      </c>
      <c r="B73" s="3"/>
      <c r="C73" s="97"/>
      <c r="D73" s="175" t="s">
        <v>208</v>
      </c>
      <c r="E73" s="171" t="s">
        <v>209</v>
      </c>
      <c r="F73" s="176"/>
      <c r="G73" s="207" t="str">
        <f>+G11</f>
        <v xml:space="preserve">        (page 4)</v>
      </c>
      <c r="H73" s="3"/>
      <c r="I73" s="176"/>
      <c r="J73" s="9" t="s">
        <v>210</v>
      </c>
      <c r="K73" s="1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</row>
    <row r="74" spans="1:40" ht="15.75">
      <c r="A74" s="3"/>
      <c r="B74" s="3"/>
      <c r="C74" s="97"/>
      <c r="D74" s="1"/>
      <c r="E74" s="220"/>
      <c r="F74" s="221"/>
      <c r="G74" s="222"/>
      <c r="H74" s="3"/>
      <c r="I74" s="221"/>
      <c r="J74" s="220"/>
      <c r="K74" s="1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</row>
    <row r="75" spans="1:40">
      <c r="A75" s="9"/>
      <c r="B75" s="3"/>
      <c r="C75" s="97" t="s">
        <v>232</v>
      </c>
      <c r="D75" s="1"/>
      <c r="E75" s="1"/>
      <c r="F75" s="1"/>
      <c r="G75" s="1"/>
      <c r="H75" s="1"/>
      <c r="I75" s="1"/>
      <c r="J75" s="1"/>
      <c r="K75" s="1"/>
      <c r="L75" s="203"/>
      <c r="M75" s="203"/>
      <c r="N75" s="203"/>
      <c r="O75" s="181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</row>
    <row r="76" spans="1:40">
      <c r="A76" s="9">
        <f>+A62+1</f>
        <v>49</v>
      </c>
      <c r="B76" s="3"/>
      <c r="C76" s="97" t="s">
        <v>233</v>
      </c>
      <c r="D76" s="1" t="s">
        <v>138</v>
      </c>
      <c r="E76" s="279">
        <v>30708302</v>
      </c>
      <c r="F76" s="1"/>
      <c r="G76" s="1" t="s">
        <v>200</v>
      </c>
      <c r="H76" s="209">
        <f>+J143</f>
        <v>0.83472000000000002</v>
      </c>
      <c r="I76" s="1"/>
      <c r="J76" s="1">
        <f>+H76*E76</f>
        <v>25632833.84544</v>
      </c>
      <c r="K76" s="75"/>
      <c r="L76" s="203"/>
      <c r="M76" s="203"/>
      <c r="N76" s="203"/>
      <c r="O76" s="181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</row>
    <row r="77" spans="1:40">
      <c r="A77" s="9">
        <f>+A76+1</f>
        <v>50</v>
      </c>
      <c r="B77" s="3"/>
      <c r="C77" s="97" t="s">
        <v>49</v>
      </c>
      <c r="D77" s="1" t="s">
        <v>434</v>
      </c>
      <c r="E77" s="279">
        <v>28103969</v>
      </c>
      <c r="F77" s="1"/>
      <c r="G77" s="1" t="str">
        <f>+G76</f>
        <v>TP</v>
      </c>
      <c r="H77" s="209">
        <f>+H76</f>
        <v>0.83472000000000002</v>
      </c>
      <c r="I77" s="1"/>
      <c r="J77" s="1">
        <f t="shared" ref="J77:J84" si="3">+H77*E77</f>
        <v>23458945.003680002</v>
      </c>
      <c r="K77" s="75"/>
      <c r="L77" s="203"/>
      <c r="M77" s="203"/>
      <c r="N77" s="203"/>
      <c r="O77" s="181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</row>
    <row r="78" spans="1:40">
      <c r="A78" s="9">
        <f t="shared" ref="A78:A119" si="4">+A77+1</f>
        <v>51</v>
      </c>
      <c r="B78" s="3"/>
      <c r="C78" s="97" t="s">
        <v>234</v>
      </c>
      <c r="D78" s="1" t="s">
        <v>125</v>
      </c>
      <c r="E78" s="279">
        <v>31583206.960000001</v>
      </c>
      <c r="F78" s="1"/>
      <c r="G78" s="1" t="s">
        <v>218</v>
      </c>
      <c r="H78" s="209">
        <f>+H28</f>
        <v>0.11183967354767037</v>
      </c>
      <c r="I78" s="1"/>
      <c r="J78" s="1">
        <f t="shared" si="3"/>
        <v>3532255.5559949107</v>
      </c>
      <c r="K78" s="1"/>
      <c r="L78" s="203"/>
      <c r="M78" s="203"/>
      <c r="N78" s="203"/>
      <c r="O78" s="181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</row>
    <row r="79" spans="1:40">
      <c r="A79" s="9">
        <f t="shared" si="4"/>
        <v>52</v>
      </c>
      <c r="B79" s="3"/>
      <c r="C79" s="97" t="s">
        <v>46</v>
      </c>
      <c r="D79" s="1" t="s">
        <v>135</v>
      </c>
      <c r="E79" s="279">
        <v>384170</v>
      </c>
      <c r="F79" s="1"/>
      <c r="G79" s="1" t="s">
        <v>218</v>
      </c>
      <c r="H79" s="209">
        <v>1</v>
      </c>
      <c r="I79" s="1"/>
      <c r="J79" s="1">
        <f t="shared" si="3"/>
        <v>384170</v>
      </c>
      <c r="K79" s="1"/>
      <c r="L79" s="203"/>
      <c r="M79" s="203"/>
      <c r="N79" s="203"/>
      <c r="O79" s="181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</row>
    <row r="80" spans="1:40">
      <c r="A80" s="9">
        <f t="shared" si="4"/>
        <v>53</v>
      </c>
      <c r="B80" s="3"/>
      <c r="C80" s="97" t="s">
        <v>293</v>
      </c>
      <c r="D80" s="1" t="s">
        <v>168</v>
      </c>
      <c r="E80" s="1">
        <v>227200</v>
      </c>
      <c r="F80" s="1"/>
      <c r="G80" s="1" t="str">
        <f>G78</f>
        <v>W/S</v>
      </c>
      <c r="H80" s="209">
        <f>H78</f>
        <v>0.11183967354767037</v>
      </c>
      <c r="I80" s="1"/>
      <c r="J80" s="1">
        <f t="shared" si="3"/>
        <v>25409.973830030707</v>
      </c>
      <c r="K80" s="1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</row>
    <row r="81" spans="1:40">
      <c r="A81" s="9">
        <f t="shared" si="4"/>
        <v>54</v>
      </c>
      <c r="B81" s="3"/>
      <c r="C81" s="97" t="s">
        <v>294</v>
      </c>
      <c r="D81" s="1" t="s">
        <v>169</v>
      </c>
      <c r="E81" s="1">
        <v>214266.83999999982</v>
      </c>
      <c r="F81" s="1"/>
      <c r="G81" s="1" t="str">
        <f>+G80</f>
        <v>W/S</v>
      </c>
      <c r="H81" s="209">
        <f>+H80</f>
        <v>0.11183967354767037</v>
      </c>
      <c r="I81" s="1"/>
      <c r="J81" s="1">
        <f t="shared" si="3"/>
        <v>23963.533437690898</v>
      </c>
      <c r="K81" s="1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  <c r="Z81" s="203"/>
      <c r="AA81" s="203"/>
      <c r="AB81" s="203"/>
      <c r="AC81" s="203"/>
      <c r="AD81" s="203"/>
      <c r="AE81" s="203"/>
      <c r="AF81" s="203"/>
      <c r="AG81" s="203"/>
      <c r="AH81" s="203"/>
      <c r="AI81" s="203"/>
      <c r="AJ81" s="203"/>
      <c r="AK81" s="203"/>
      <c r="AL81" s="203"/>
      <c r="AM81" s="203"/>
      <c r="AN81" s="203"/>
    </row>
    <row r="82" spans="1:40">
      <c r="A82" s="9">
        <f t="shared" si="4"/>
        <v>55</v>
      </c>
      <c r="B82" s="3"/>
      <c r="C82" s="97" t="s">
        <v>48</v>
      </c>
      <c r="D82" s="1"/>
      <c r="E82" s="279">
        <v>1600549.14</v>
      </c>
      <c r="F82" s="1"/>
      <c r="G82" s="1" t="str">
        <f>G78</f>
        <v>W/S</v>
      </c>
      <c r="H82" s="209">
        <f>H78</f>
        <v>0.11183967354767037</v>
      </c>
      <c r="I82" s="1"/>
      <c r="J82" s="1">
        <f t="shared" si="3"/>
        <v>179004.89331460453</v>
      </c>
      <c r="K82" s="1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</row>
    <row r="83" spans="1:40">
      <c r="A83" s="9">
        <f t="shared" si="4"/>
        <v>56</v>
      </c>
      <c r="B83" s="3"/>
      <c r="C83" s="97" t="s">
        <v>47</v>
      </c>
      <c r="D83" s="1"/>
      <c r="E83" s="1"/>
      <c r="F83" s="1"/>
      <c r="G83" s="223" t="str">
        <f>+G76</f>
        <v>TP</v>
      </c>
      <c r="H83" s="209">
        <f>+H76</f>
        <v>0.83472000000000002</v>
      </c>
      <c r="I83" s="1"/>
      <c r="J83" s="1">
        <f>+H83*E83</f>
        <v>0</v>
      </c>
      <c r="K83" s="1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03"/>
      <c r="AK83" s="203"/>
      <c r="AL83" s="203"/>
      <c r="AM83" s="203"/>
      <c r="AN83" s="203"/>
    </row>
    <row r="84" spans="1:40" ht="15.75" thickBot="1">
      <c r="A84" s="9">
        <f t="shared" si="4"/>
        <v>57</v>
      </c>
      <c r="B84" s="3"/>
      <c r="C84" s="97" t="s">
        <v>219</v>
      </c>
      <c r="D84" s="1" t="str">
        <f>+D31</f>
        <v>356.1</v>
      </c>
      <c r="E84" s="4">
        <v>0</v>
      </c>
      <c r="F84" s="1"/>
      <c r="G84" s="1" t="s">
        <v>251</v>
      </c>
      <c r="H84" s="209">
        <f>+H31</f>
        <v>0</v>
      </c>
      <c r="I84" s="1"/>
      <c r="J84" s="4">
        <f t="shared" si="3"/>
        <v>0</v>
      </c>
      <c r="K84" s="1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203"/>
      <c r="AG84" s="203"/>
      <c r="AH84" s="203"/>
      <c r="AI84" s="203"/>
      <c r="AJ84" s="203"/>
      <c r="AK84" s="203"/>
      <c r="AL84" s="203"/>
      <c r="AM84" s="203"/>
      <c r="AN84" s="203"/>
    </row>
    <row r="85" spans="1:40">
      <c r="A85" s="9">
        <f t="shared" si="4"/>
        <v>58</v>
      </c>
      <c r="B85" s="3"/>
      <c r="C85" s="97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1"/>
      <c r="E85" s="1">
        <f>+E76-E77+E78-E79-E82+E84+E83+E80-E81</f>
        <v>32215753.98</v>
      </c>
      <c r="F85" s="1"/>
      <c r="G85" s="1"/>
      <c r="H85" s="1"/>
      <c r="I85" s="1"/>
      <c r="J85" s="1">
        <f>+J76-J77+J78-J79-J82+J84+J83+J80-J81</f>
        <v>5144415.9448326444</v>
      </c>
      <c r="K85" s="1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</row>
    <row r="86" spans="1:40">
      <c r="A86" s="9">
        <f t="shared" si="4"/>
        <v>59</v>
      </c>
      <c r="B86" s="3"/>
      <c r="C86" s="3"/>
      <c r="D86" s="1"/>
      <c r="E86" s="3"/>
      <c r="F86" s="1"/>
      <c r="G86" s="1"/>
      <c r="H86" s="1"/>
      <c r="I86" s="1"/>
      <c r="J86" s="3"/>
      <c r="K86" s="1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</row>
    <row r="87" spans="1:40">
      <c r="A87" s="9">
        <f t="shared" si="4"/>
        <v>60</v>
      </c>
      <c r="B87" s="3"/>
      <c r="C87" s="97" t="s">
        <v>173</v>
      </c>
      <c r="D87" s="1"/>
      <c r="E87" s="1"/>
      <c r="F87" s="1"/>
      <c r="G87" s="1"/>
      <c r="H87" s="1"/>
      <c r="I87" s="1"/>
      <c r="J87" s="1"/>
      <c r="K87" s="1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  <c r="Z87" s="203"/>
      <c r="AA87" s="203"/>
      <c r="AB87" s="203"/>
      <c r="AC87" s="203"/>
      <c r="AD87" s="203"/>
      <c r="AE87" s="203"/>
      <c r="AF87" s="203"/>
      <c r="AG87" s="203"/>
      <c r="AH87" s="203"/>
      <c r="AI87" s="203"/>
      <c r="AJ87" s="203"/>
      <c r="AK87" s="203"/>
      <c r="AL87" s="203"/>
      <c r="AM87" s="203"/>
      <c r="AN87" s="203"/>
    </row>
    <row r="88" spans="1:40">
      <c r="A88" s="9">
        <f t="shared" si="4"/>
        <v>61</v>
      </c>
      <c r="B88" s="3"/>
      <c r="C88" s="97" t="str">
        <f>+C16</f>
        <v xml:space="preserve">  Transmission</v>
      </c>
      <c r="D88" s="1" t="s">
        <v>435</v>
      </c>
      <c r="E88" s="1">
        <f>E16*'BHP WP5 Depreciation Rates'!H17</f>
        <v>5751767.4788996922</v>
      </c>
      <c r="F88" s="1"/>
      <c r="G88" s="1" t="s">
        <v>200</v>
      </c>
      <c r="H88" s="209">
        <f>+J143</f>
        <v>0.83472000000000002</v>
      </c>
      <c r="I88" s="1"/>
      <c r="J88" s="1">
        <f>+H88*E88</f>
        <v>4801115.3499871511</v>
      </c>
      <c r="K88" s="1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  <c r="AK88" s="203"/>
      <c r="AL88" s="203"/>
      <c r="AM88" s="203"/>
      <c r="AN88" s="203"/>
    </row>
    <row r="89" spans="1:40">
      <c r="A89" s="9">
        <f t="shared" si="4"/>
        <v>62</v>
      </c>
      <c r="B89" s="3"/>
      <c r="C89" s="97" t="s">
        <v>295</v>
      </c>
      <c r="D89" s="1" t="s">
        <v>436</v>
      </c>
      <c r="E89" s="1">
        <f>(E18+E20)*'BHP WP5 Depreciation Rates'!H31</f>
        <v>4493762.6589480741</v>
      </c>
      <c r="F89" s="1"/>
      <c r="G89" s="1" t="s">
        <v>218</v>
      </c>
      <c r="H89" s="209">
        <f>H78</f>
        <v>0.11183967354767037</v>
      </c>
      <c r="I89" s="1"/>
      <c r="J89" s="1">
        <f>+H89*E89</f>
        <v>502580.94877746375</v>
      </c>
      <c r="K89" s="1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3"/>
    </row>
    <row r="90" spans="1:40" ht="15.75" thickBot="1">
      <c r="A90" s="9">
        <f t="shared" si="4"/>
        <v>63</v>
      </c>
      <c r="B90" s="3"/>
      <c r="C90" s="97" t="str">
        <f>+C84</f>
        <v xml:space="preserve">  Common</v>
      </c>
      <c r="D90" s="1" t="s">
        <v>126</v>
      </c>
      <c r="E90" s="4">
        <v>0</v>
      </c>
      <c r="F90" s="1"/>
      <c r="G90" s="1" t="s">
        <v>251</v>
      </c>
      <c r="H90" s="209">
        <f>+H84</f>
        <v>0</v>
      </c>
      <c r="I90" s="1"/>
      <c r="J90" s="4">
        <f>+H90*E90</f>
        <v>0</v>
      </c>
      <c r="K90" s="1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</row>
    <row r="91" spans="1:40">
      <c r="A91" s="9">
        <f t="shared" si="4"/>
        <v>64</v>
      </c>
      <c r="B91" s="3"/>
      <c r="C91" s="97" t="str">
        <f>"TOTAL DEPRECIATION (Sum lines "&amp;A88&amp;" - "&amp;A90&amp;")"</f>
        <v>TOTAL DEPRECIATION (Sum lines 61 - 63)</v>
      </c>
      <c r="D91" s="1"/>
      <c r="E91" s="1">
        <f>SUM(E88:E90)</f>
        <v>10245530.137847766</v>
      </c>
      <c r="F91" s="1"/>
      <c r="G91" s="1"/>
      <c r="H91" s="1"/>
      <c r="I91" s="1"/>
      <c r="J91" s="1">
        <f>SUM(J88:J90)</f>
        <v>5303696.2987646144</v>
      </c>
      <c r="K91" s="1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</row>
    <row r="92" spans="1:40">
      <c r="A92" s="9">
        <f t="shared" si="4"/>
        <v>65</v>
      </c>
      <c r="B92" s="3"/>
      <c r="C92" s="97"/>
      <c r="D92" s="1"/>
      <c r="E92" s="1"/>
      <c r="F92" s="1"/>
      <c r="G92" s="1"/>
      <c r="H92" s="1"/>
      <c r="I92" s="1"/>
      <c r="J92" s="1"/>
      <c r="K92" s="1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</row>
    <row r="93" spans="1:40">
      <c r="A93" s="9">
        <f t="shared" si="4"/>
        <v>66</v>
      </c>
      <c r="B93" s="3"/>
      <c r="C93" s="97" t="s">
        <v>89</v>
      </c>
      <c r="D93" s="3"/>
      <c r="E93" s="1"/>
      <c r="F93" s="1"/>
      <c r="G93" s="1"/>
      <c r="H93" s="1"/>
      <c r="I93" s="1"/>
      <c r="J93" s="1"/>
      <c r="K93" s="1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  <c r="Z93" s="203"/>
      <c r="AA93" s="203"/>
      <c r="AB93" s="203"/>
      <c r="AC93" s="203"/>
      <c r="AD93" s="203"/>
      <c r="AE93" s="203"/>
      <c r="AF93" s="203"/>
      <c r="AG93" s="203"/>
      <c r="AH93" s="203"/>
      <c r="AI93" s="203"/>
      <c r="AJ93" s="203"/>
      <c r="AK93" s="203"/>
      <c r="AL93" s="203"/>
      <c r="AM93" s="203"/>
      <c r="AN93" s="203"/>
    </row>
    <row r="94" spans="1:40">
      <c r="A94" s="9">
        <f t="shared" si="4"/>
        <v>67</v>
      </c>
      <c r="B94" s="3"/>
      <c r="C94" s="97" t="s">
        <v>235</v>
      </c>
      <c r="D94" s="3"/>
      <c r="E94" s="94"/>
      <c r="F94" s="1"/>
      <c r="G94" s="1"/>
      <c r="H94" s="3"/>
      <c r="I94" s="1"/>
      <c r="J94" s="3"/>
      <c r="K94" s="1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3"/>
      <c r="AD94" s="203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</row>
    <row r="95" spans="1:40">
      <c r="A95" s="9">
        <f t="shared" si="4"/>
        <v>68</v>
      </c>
      <c r="B95" s="3"/>
      <c r="C95" s="97" t="s">
        <v>236</v>
      </c>
      <c r="D95" s="1" t="s">
        <v>437</v>
      </c>
      <c r="E95" s="279">
        <f>10685+1696893+96668</f>
        <v>1804246</v>
      </c>
      <c r="F95" s="1"/>
      <c r="G95" s="1" t="s">
        <v>218</v>
      </c>
      <c r="H95" s="224">
        <f>+J175</f>
        <v>0.11183967354767037</v>
      </c>
      <c r="I95" s="1"/>
      <c r="J95" s="1">
        <f>+H95*E95</f>
        <v>201786.28363969008</v>
      </c>
      <c r="K95" s="1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03"/>
      <c r="AM95" s="203"/>
      <c r="AN95" s="203"/>
    </row>
    <row r="96" spans="1:40">
      <c r="A96" s="9">
        <f t="shared" si="4"/>
        <v>69</v>
      </c>
      <c r="B96" s="3"/>
      <c r="C96" s="97" t="s">
        <v>237</v>
      </c>
      <c r="D96" s="1" t="s">
        <v>75</v>
      </c>
      <c r="E96" s="1">
        <v>0</v>
      </c>
      <c r="F96" s="1"/>
      <c r="G96" s="1" t="str">
        <f>+G95</f>
        <v>W/S</v>
      </c>
      <c r="H96" s="224">
        <f>+H95</f>
        <v>0.11183967354767037</v>
      </c>
      <c r="I96" s="1"/>
      <c r="J96" s="1">
        <f>+H96*E96</f>
        <v>0</v>
      </c>
      <c r="K96" s="1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3"/>
      <c r="AH96" s="203"/>
      <c r="AI96" s="203"/>
      <c r="AJ96" s="203"/>
      <c r="AK96" s="203"/>
      <c r="AL96" s="203"/>
      <c r="AM96" s="203"/>
      <c r="AN96" s="203"/>
    </row>
    <row r="97" spans="1:40">
      <c r="A97" s="9">
        <f t="shared" si="4"/>
        <v>70</v>
      </c>
      <c r="B97" s="3"/>
      <c r="C97" s="97" t="s">
        <v>238</v>
      </c>
      <c r="D97" s="1" t="s">
        <v>194</v>
      </c>
      <c r="E97" s="1"/>
      <c r="F97" s="1"/>
      <c r="G97" s="1"/>
      <c r="H97" s="3"/>
      <c r="I97" s="1"/>
      <c r="J97" s="3"/>
      <c r="K97" s="1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3"/>
      <c r="AJ97" s="203"/>
      <c r="AK97" s="203"/>
      <c r="AL97" s="203"/>
      <c r="AM97" s="203"/>
      <c r="AN97" s="203"/>
    </row>
    <row r="98" spans="1:40">
      <c r="A98" s="9">
        <f t="shared" si="4"/>
        <v>71</v>
      </c>
      <c r="B98" s="3"/>
      <c r="C98" s="97" t="s">
        <v>239</v>
      </c>
      <c r="D98" s="1" t="s">
        <v>438</v>
      </c>
      <c r="E98" s="279">
        <f>9149366-'WP6 Rate Base'!Q108</f>
        <v>8555921.9000000004</v>
      </c>
      <c r="F98" s="1"/>
      <c r="G98" s="1" t="s">
        <v>231</v>
      </c>
      <c r="H98" s="224">
        <f>+H22</f>
        <v>0.14660358062885884</v>
      </c>
      <c r="I98" s="1"/>
      <c r="J98" s="1">
        <f>+H98*E98</f>
        <v>1254328.7861208692</v>
      </c>
      <c r="K98" s="1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  <c r="Z98" s="203"/>
      <c r="AA98" s="203"/>
      <c r="AB98" s="203"/>
      <c r="AC98" s="203"/>
      <c r="AD98" s="203"/>
      <c r="AE98" s="203"/>
      <c r="AF98" s="203"/>
      <c r="AG98" s="203"/>
      <c r="AH98" s="203"/>
      <c r="AI98" s="203"/>
      <c r="AJ98" s="203"/>
      <c r="AK98" s="203"/>
      <c r="AL98" s="203"/>
      <c r="AM98" s="203"/>
      <c r="AN98" s="203"/>
    </row>
    <row r="99" spans="1:40">
      <c r="A99" s="9">
        <f t="shared" si="4"/>
        <v>72</v>
      </c>
      <c r="B99" s="3"/>
      <c r="C99" s="97" t="s">
        <v>240</v>
      </c>
      <c r="D99" s="1" t="s">
        <v>75</v>
      </c>
      <c r="E99" s="1">
        <v>0</v>
      </c>
      <c r="F99" s="1"/>
      <c r="G99" s="1" t="str">
        <f>+G45</f>
        <v>NA</v>
      </c>
      <c r="H99" s="225" t="s">
        <v>290</v>
      </c>
      <c r="I99" s="1"/>
      <c r="J99" s="1">
        <v>0</v>
      </c>
      <c r="K99" s="1"/>
      <c r="L99" s="181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3"/>
      <c r="AH99" s="203"/>
      <c r="AI99" s="203"/>
      <c r="AJ99" s="203"/>
      <c r="AK99" s="203"/>
      <c r="AL99" s="203"/>
      <c r="AM99" s="203"/>
      <c r="AN99" s="203"/>
    </row>
    <row r="100" spans="1:40" ht="15.75" thickBot="1">
      <c r="A100" s="9">
        <f t="shared" si="4"/>
        <v>73</v>
      </c>
      <c r="B100" s="3"/>
      <c r="C100" s="97" t="s">
        <v>241</v>
      </c>
      <c r="D100" s="1" t="str">
        <f>+D99</f>
        <v>263.i</v>
      </c>
      <c r="E100" s="4">
        <v>0</v>
      </c>
      <c r="F100" s="1"/>
      <c r="G100" s="1" t="str">
        <f>+G98</f>
        <v>GP</v>
      </c>
      <c r="H100" s="224">
        <f>+H98</f>
        <v>0.14660358062885884</v>
      </c>
      <c r="I100" s="1"/>
      <c r="J100" s="4">
        <f>+H100*E100</f>
        <v>0</v>
      </c>
      <c r="K100" s="1"/>
      <c r="L100" s="181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3"/>
    </row>
    <row r="101" spans="1:40">
      <c r="A101" s="9">
        <f t="shared" si="4"/>
        <v>74</v>
      </c>
      <c r="B101" s="3"/>
      <c r="C101" s="97" t="str">
        <f>"TOTAL OTHER TAXES  (sum lines "&amp;A95&amp;" - "&amp;A100&amp;")"</f>
        <v>TOTAL OTHER TAXES  (sum lines 68 - 73)</v>
      </c>
      <c r="D101" s="1"/>
      <c r="E101" s="1">
        <f>SUM(E95:E100)</f>
        <v>10360167.9</v>
      </c>
      <c r="F101" s="1"/>
      <c r="G101" s="1"/>
      <c r="H101" s="224"/>
      <c r="I101" s="1"/>
      <c r="J101" s="1">
        <f>SUM(J95:J100)</f>
        <v>1456115.0697605594</v>
      </c>
      <c r="K101" s="1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3"/>
    </row>
    <row r="102" spans="1:40">
      <c r="A102" s="9">
        <f t="shared" si="4"/>
        <v>75</v>
      </c>
      <c r="B102" s="3"/>
      <c r="C102" s="97"/>
      <c r="D102" s="1"/>
      <c r="E102" s="1"/>
      <c r="F102" s="1"/>
      <c r="G102" s="1"/>
      <c r="H102" s="224"/>
      <c r="I102" s="1"/>
      <c r="J102" s="1"/>
      <c r="K102" s="1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</row>
    <row r="103" spans="1:40">
      <c r="A103" s="9">
        <f t="shared" si="4"/>
        <v>76</v>
      </c>
      <c r="B103" s="3"/>
      <c r="C103" s="97"/>
      <c r="D103" s="1"/>
      <c r="E103" s="1"/>
      <c r="F103" s="1"/>
      <c r="G103" s="1"/>
      <c r="H103" s="224"/>
      <c r="I103" s="1"/>
      <c r="J103" s="1"/>
      <c r="K103" s="1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</row>
    <row r="104" spans="1:40">
      <c r="A104" s="9">
        <f t="shared" si="4"/>
        <v>77</v>
      </c>
      <c r="B104" s="3"/>
      <c r="C104" s="97" t="s">
        <v>242</v>
      </c>
      <c r="D104" s="1" t="s">
        <v>88</v>
      </c>
      <c r="E104" s="1"/>
      <c r="F104" s="1"/>
      <c r="G104" s="3"/>
      <c r="H104" s="226"/>
      <c r="I104" s="1"/>
      <c r="J104" s="3"/>
      <c r="K104" s="1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</row>
    <row r="105" spans="1:40">
      <c r="A105" s="9">
        <f t="shared" si="4"/>
        <v>78</v>
      </c>
      <c r="B105" s="3"/>
      <c r="C105" s="227" t="s">
        <v>286</v>
      </c>
      <c r="D105" s="1"/>
      <c r="E105" s="228">
        <f>IF(E232&gt;0,1-(((1-E233)*(1-E232))/(1-E233*E232*E234)),0)</f>
        <v>0.20999999999999996</v>
      </c>
      <c r="F105" s="1"/>
      <c r="G105" s="3"/>
      <c r="H105" s="226"/>
      <c r="I105" s="1"/>
      <c r="J105" s="3"/>
      <c r="K105" s="1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</row>
    <row r="106" spans="1:40">
      <c r="A106" s="9">
        <f t="shared" si="4"/>
        <v>79</v>
      </c>
      <c r="B106" s="3"/>
      <c r="C106" s="3" t="s">
        <v>287</v>
      </c>
      <c r="D106" s="1"/>
      <c r="E106" s="228">
        <f>IF(J199&gt;0,(E105/(1-E105))*(1-J196/J199),0)</f>
        <v>0.18667114721393624</v>
      </c>
      <c r="F106" s="1"/>
      <c r="G106" s="3"/>
      <c r="H106" s="226"/>
      <c r="I106" s="1"/>
      <c r="J106" s="3"/>
      <c r="K106" s="1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3"/>
      <c r="AC106" s="203"/>
      <c r="AD106" s="203"/>
      <c r="AE106" s="203"/>
      <c r="AF106" s="203"/>
      <c r="AG106" s="203"/>
      <c r="AH106" s="203"/>
      <c r="AI106" s="203"/>
      <c r="AJ106" s="203"/>
      <c r="AK106" s="203"/>
      <c r="AL106" s="203"/>
      <c r="AM106" s="203"/>
      <c r="AN106" s="203"/>
    </row>
    <row r="107" spans="1:40">
      <c r="A107" s="9">
        <f t="shared" si="4"/>
        <v>80</v>
      </c>
      <c r="B107" s="3"/>
      <c r="C107" s="97" t="str">
        <f>"       where WCLTD=(line "&amp;A196&amp;") and R= (line "&amp;A199&amp;")"</f>
        <v xml:space="preserve">       where WCLTD=(line 154) and R= (line 157)</v>
      </c>
      <c r="D107" s="1"/>
      <c r="E107" s="1"/>
      <c r="F107" s="1"/>
      <c r="G107" s="3"/>
      <c r="H107" s="226"/>
      <c r="I107" s="1"/>
      <c r="J107" s="3"/>
      <c r="K107" s="1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  <c r="Z107" s="203"/>
      <c r="AA107" s="203"/>
      <c r="AB107" s="203"/>
      <c r="AC107" s="203"/>
      <c r="AD107" s="203"/>
      <c r="AE107" s="203"/>
      <c r="AF107" s="203"/>
      <c r="AG107" s="203"/>
      <c r="AH107" s="203"/>
      <c r="AI107" s="203"/>
      <c r="AJ107" s="203"/>
      <c r="AK107" s="203"/>
      <c r="AL107" s="203"/>
      <c r="AM107" s="203"/>
      <c r="AN107" s="203"/>
    </row>
    <row r="108" spans="1:40">
      <c r="A108" s="9">
        <f t="shared" si="4"/>
        <v>81</v>
      </c>
      <c r="B108" s="3"/>
      <c r="C108" s="97" t="s">
        <v>90</v>
      </c>
      <c r="D108" s="1"/>
      <c r="E108" s="1"/>
      <c r="F108" s="1"/>
      <c r="G108" s="3"/>
      <c r="H108" s="226"/>
      <c r="I108" s="1"/>
      <c r="J108" s="3"/>
      <c r="K108" s="1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>
      <c r="A109" s="9">
        <f t="shared" si="4"/>
        <v>82</v>
      </c>
      <c r="B109" s="3"/>
      <c r="C109" s="227"/>
      <c r="D109" s="1"/>
      <c r="E109" s="229"/>
      <c r="F109" s="1"/>
      <c r="G109" s="3"/>
      <c r="H109" s="226"/>
      <c r="I109" s="1"/>
      <c r="J109" s="3"/>
      <c r="K109" s="1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3"/>
      <c r="AA109" s="203"/>
      <c r="AB109" s="203"/>
      <c r="AC109" s="203"/>
      <c r="AD109" s="203"/>
      <c r="AE109" s="203"/>
      <c r="AF109" s="203"/>
      <c r="AG109" s="203"/>
      <c r="AH109" s="203"/>
      <c r="AI109" s="203"/>
      <c r="AJ109" s="203"/>
      <c r="AK109" s="203"/>
      <c r="AL109" s="203"/>
      <c r="AM109" s="203"/>
      <c r="AN109" s="203"/>
    </row>
    <row r="110" spans="1:40">
      <c r="A110" s="9">
        <f t="shared" si="4"/>
        <v>83</v>
      </c>
      <c r="B110" s="3"/>
      <c r="C110" s="230" t="s">
        <v>276</v>
      </c>
      <c r="D110" s="3" t="str">
        <f>"(line "&amp;A106&amp;" * line "&amp;A113&amp;")"</f>
        <v>(line 79 * line 86)</v>
      </c>
      <c r="E110" s="86"/>
      <c r="F110" s="1"/>
      <c r="G110" s="1" t="s">
        <v>194</v>
      </c>
      <c r="H110" s="224" t="s">
        <v>194</v>
      </c>
      <c r="I110" s="1"/>
      <c r="J110" s="1">
        <f>E106*J112</f>
        <v>2333772.6186060812</v>
      </c>
      <c r="K110" s="1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3"/>
      <c r="AF110" s="203"/>
      <c r="AG110" s="203"/>
      <c r="AH110" s="203"/>
      <c r="AI110" s="203"/>
      <c r="AJ110" s="203"/>
      <c r="AK110" s="203"/>
      <c r="AL110" s="203"/>
      <c r="AM110" s="203"/>
      <c r="AN110" s="203"/>
    </row>
    <row r="111" spans="1:40">
      <c r="A111" s="9">
        <f t="shared" si="4"/>
        <v>84</v>
      </c>
      <c r="B111" s="3"/>
      <c r="C111" s="231"/>
      <c r="D111" s="232"/>
      <c r="E111" s="1"/>
      <c r="F111" s="1"/>
      <c r="G111" s="1"/>
      <c r="H111" s="224"/>
      <c r="I111" s="1"/>
      <c r="J111" s="1"/>
      <c r="K111" s="1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</row>
    <row r="112" spans="1:40">
      <c r="A112" s="9">
        <f t="shared" si="4"/>
        <v>85</v>
      </c>
      <c r="B112" s="3"/>
      <c r="C112" s="97" t="s">
        <v>243</v>
      </c>
      <c r="D112" s="211"/>
      <c r="E112" s="1"/>
      <c r="F112" s="1"/>
      <c r="G112" s="1" t="s">
        <v>91</v>
      </c>
      <c r="H112" s="226"/>
      <c r="I112" s="1"/>
      <c r="J112" s="1">
        <f>+$J199*J62</f>
        <v>12502053.228030141</v>
      </c>
      <c r="K112" s="1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  <c r="Z112" s="203"/>
      <c r="AA112" s="203"/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3"/>
      <c r="AL112" s="203"/>
      <c r="AM112" s="203"/>
      <c r="AN112" s="203"/>
    </row>
    <row r="113" spans="1:40" ht="17.25" customHeight="1">
      <c r="A113" s="9">
        <f t="shared" si="4"/>
        <v>86</v>
      </c>
      <c r="B113" s="3"/>
      <c r="C113" s="230" t="str">
        <f>"  [ Rate Base (line "&amp;A62&amp;") * R (line "&amp;A199&amp;")]"</f>
        <v xml:space="preserve">  [ Rate Base (line 48) * R (line 157)]</v>
      </c>
      <c r="D113" s="3"/>
      <c r="E113" s="1"/>
      <c r="F113" s="1"/>
      <c r="G113" s="1"/>
      <c r="H113" s="226"/>
      <c r="I113" s="1"/>
      <c r="J113" s="1"/>
      <c r="K113" s="1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</row>
    <row r="114" spans="1:40">
      <c r="A114" s="9">
        <f t="shared" si="4"/>
        <v>87</v>
      </c>
      <c r="B114" s="3"/>
      <c r="C114" s="97"/>
      <c r="D114" s="3"/>
      <c r="E114" s="217"/>
      <c r="F114" s="1"/>
      <c r="G114" s="1"/>
      <c r="H114" s="226"/>
      <c r="I114" s="1"/>
      <c r="J114" s="217"/>
      <c r="K114" s="1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</row>
    <row r="115" spans="1:40" ht="15.75" thickBot="1">
      <c r="A115" s="9">
        <f t="shared" si="4"/>
        <v>88</v>
      </c>
      <c r="B115" s="3"/>
      <c r="C115" s="97" t="str">
        <f>"REVENUE REQUIREMENT  (sum lines "&amp;A85&amp;", "&amp;A91&amp;", "&amp;A101&amp;", "&amp;A110&amp;", "&amp;A112&amp;")"</f>
        <v>REVENUE REQUIREMENT  (sum lines 58, 64, 74, 83, 85)</v>
      </c>
      <c r="D115" s="1"/>
      <c r="E115" s="233">
        <f>E110+E101+E91+E85</f>
        <v>52821452.017847762</v>
      </c>
      <c r="F115" s="1"/>
      <c r="G115" s="1"/>
      <c r="H115" s="1"/>
      <c r="I115" s="1"/>
      <c r="J115" s="95">
        <f>J110+J101+J91+J85+J112</f>
        <v>26740053.15999404</v>
      </c>
      <c r="K115" s="75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</row>
    <row r="116" spans="1:40" ht="15.75" thickTop="1">
      <c r="A116" s="9">
        <f t="shared" si="4"/>
        <v>89</v>
      </c>
      <c r="B116" s="3"/>
      <c r="C116" s="3"/>
      <c r="D116" s="3"/>
      <c r="E116" s="3"/>
      <c r="F116" s="3"/>
      <c r="G116" s="3"/>
      <c r="H116" s="3"/>
      <c r="I116" s="3"/>
      <c r="J116" s="3"/>
      <c r="K116" s="1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</row>
    <row r="117" spans="1:40">
      <c r="A117" s="9">
        <f t="shared" si="4"/>
        <v>90</v>
      </c>
      <c r="B117" s="3"/>
      <c r="C117" s="97" t="s">
        <v>433</v>
      </c>
      <c r="D117" s="3"/>
      <c r="E117" s="3"/>
      <c r="F117" s="3"/>
      <c r="G117" s="3"/>
      <c r="H117" s="3"/>
      <c r="I117" s="3"/>
      <c r="J117" s="214">
        <v>26446317.264778614</v>
      </c>
      <c r="K117" s="1"/>
      <c r="L117" s="181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</row>
    <row r="118" spans="1:40">
      <c r="A118" s="9">
        <f t="shared" si="4"/>
        <v>91</v>
      </c>
      <c r="B118" s="3"/>
      <c r="C118" s="3"/>
      <c r="D118" s="3"/>
      <c r="E118" s="3"/>
      <c r="F118" s="3"/>
      <c r="G118" s="3"/>
      <c r="H118" s="3"/>
      <c r="I118" s="3"/>
      <c r="J118" s="3"/>
      <c r="K118" s="1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  <c r="Z118" s="203"/>
      <c r="AA118" s="203"/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3"/>
      <c r="AL118" s="203"/>
      <c r="AM118" s="203"/>
      <c r="AN118" s="203"/>
    </row>
    <row r="119" spans="1:40" ht="15.75" thickBot="1">
      <c r="A119" s="9">
        <f t="shared" si="4"/>
        <v>92</v>
      </c>
      <c r="B119" s="3"/>
      <c r="C119" s="3" t="str">
        <f>"TRUE-UP AMOUNT TO BE (REFUNDED)/PAID (line "&amp;A115&amp;" - line "&amp;A117&amp;")"</f>
        <v>TRUE-UP AMOUNT TO BE (REFUNDED)/PAID (line 88 - line 90)</v>
      </c>
      <c r="D119" s="3"/>
      <c r="E119" s="3"/>
      <c r="F119" s="3"/>
      <c r="G119" s="3"/>
      <c r="H119" s="3"/>
      <c r="I119" s="3"/>
      <c r="J119" s="233">
        <f>+J115-J117</f>
        <v>293735.89521542564</v>
      </c>
      <c r="K119" s="1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3"/>
      <c r="AL119" s="203"/>
      <c r="AM119" s="203"/>
      <c r="AN119" s="203"/>
    </row>
    <row r="120" spans="1:40" ht="15.75" thickTop="1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1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  <c r="Z120" s="203"/>
      <c r="AA120" s="203"/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3"/>
      <c r="AL120" s="203"/>
      <c r="AM120" s="203"/>
      <c r="AN120" s="203"/>
    </row>
    <row r="121" spans="1:40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1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  <c r="Z121" s="203"/>
      <c r="AA121" s="203"/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</row>
    <row r="122" spans="1:40">
      <c r="A122" s="9"/>
      <c r="B122" s="3"/>
      <c r="C122" s="3"/>
      <c r="D122" s="3"/>
      <c r="E122" s="3"/>
      <c r="F122" s="3"/>
      <c r="G122" s="3"/>
      <c r="H122" s="3"/>
      <c r="I122" s="169" t="s">
        <v>417</v>
      </c>
      <c r="J122" s="234">
        <f>J1</f>
        <v>44712</v>
      </c>
      <c r="K122" s="1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  <c r="Z122" s="203"/>
      <c r="AA122" s="203"/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3"/>
      <c r="AL122" s="203"/>
      <c r="AM122" s="203"/>
      <c r="AN122" s="203"/>
    </row>
    <row r="123" spans="1:40">
      <c r="A123" s="9"/>
      <c r="B123" s="3"/>
      <c r="C123" s="3"/>
      <c r="D123" s="3"/>
      <c r="E123" s="3"/>
      <c r="F123" s="3"/>
      <c r="G123" s="3"/>
      <c r="I123" s="169" t="str">
        <f>$I$2</f>
        <v>Service Year</v>
      </c>
      <c r="J123" s="75">
        <f>$J$2</f>
        <v>2021</v>
      </c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  <c r="Z123" s="203"/>
      <c r="AA123" s="203"/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3"/>
      <c r="AL123" s="203"/>
      <c r="AM123" s="203"/>
      <c r="AN123" s="203"/>
    </row>
    <row r="124" spans="1:40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1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  <c r="Z124" s="203"/>
      <c r="AA124" s="203"/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3"/>
      <c r="AL124" s="203"/>
      <c r="AM124" s="203"/>
      <c r="AN124" s="203"/>
    </row>
    <row r="125" spans="1:40" ht="15.75">
      <c r="A125" s="318" t="s">
        <v>321</v>
      </c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</row>
    <row r="126" spans="1:40" ht="15.75">
      <c r="A126" s="319" t="s">
        <v>195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</row>
    <row r="127" spans="1:40">
      <c r="A127" s="3"/>
      <c r="B127" s="3"/>
      <c r="C127" s="75"/>
      <c r="D127" s="75"/>
      <c r="F127" s="75"/>
      <c r="G127" s="75"/>
      <c r="H127" s="75"/>
      <c r="I127" s="75"/>
      <c r="J127" s="75"/>
      <c r="K127" s="75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</row>
    <row r="128" spans="1:40" ht="15.75">
      <c r="A128" s="320" t="s">
        <v>320</v>
      </c>
      <c r="B128" s="320"/>
      <c r="C128" s="320"/>
      <c r="D128" s="320"/>
      <c r="E128" s="320"/>
      <c r="F128" s="320"/>
      <c r="G128" s="320"/>
      <c r="H128" s="320"/>
      <c r="I128" s="320"/>
      <c r="J128" s="320"/>
      <c r="K128" s="320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</row>
    <row r="129" spans="1:40">
      <c r="A129" s="9"/>
      <c r="B129" s="3"/>
      <c r="C129" s="3"/>
      <c r="D129" s="97"/>
      <c r="E129" s="97"/>
      <c r="F129" s="97"/>
      <c r="G129" s="97"/>
      <c r="H129" s="97"/>
      <c r="I129" s="97"/>
      <c r="J129" s="97"/>
      <c r="K129" s="97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</row>
    <row r="130" spans="1:40" ht="15.75">
      <c r="A130" s="321" t="s">
        <v>3</v>
      </c>
      <c r="B130" s="321"/>
      <c r="C130" s="321"/>
      <c r="D130" s="321"/>
      <c r="E130" s="321"/>
      <c r="F130" s="321"/>
      <c r="G130" s="321"/>
      <c r="H130" s="321"/>
      <c r="I130" s="321"/>
      <c r="J130" s="321"/>
      <c r="K130" s="321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</row>
    <row r="131" spans="1:40" ht="15.75">
      <c r="A131" s="9"/>
      <c r="B131" s="3"/>
      <c r="C131" s="179"/>
      <c r="D131" s="75"/>
      <c r="E131" s="75"/>
      <c r="F131" s="75"/>
      <c r="G131" s="75"/>
      <c r="H131" s="75"/>
      <c r="I131" s="75"/>
      <c r="J131" s="75"/>
      <c r="K131" s="1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</row>
    <row r="132" spans="1:40" ht="15.75">
      <c r="A132" s="9" t="s">
        <v>196</v>
      </c>
      <c r="B132" s="3"/>
      <c r="C132" s="179"/>
      <c r="D132" s="75"/>
      <c r="E132" s="75"/>
      <c r="F132" s="75"/>
      <c r="G132" s="75"/>
      <c r="H132" s="75"/>
      <c r="I132" s="75"/>
      <c r="J132" s="75"/>
      <c r="K132" s="1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  <c r="Z132" s="203"/>
      <c r="AA132" s="203"/>
      <c r="AB132" s="203"/>
      <c r="AC132" s="203"/>
      <c r="AD132" s="203"/>
      <c r="AE132" s="203"/>
      <c r="AF132" s="203"/>
      <c r="AG132" s="203"/>
      <c r="AH132" s="203"/>
      <c r="AI132" s="203"/>
      <c r="AJ132" s="203"/>
      <c r="AK132" s="203"/>
      <c r="AL132" s="203"/>
      <c r="AM132" s="203"/>
      <c r="AN132" s="203"/>
    </row>
    <row r="133" spans="1:40" ht="15.75" thickBot="1">
      <c r="A133" s="178" t="s">
        <v>197</v>
      </c>
      <c r="B133" s="3"/>
      <c r="C133" s="96" t="s">
        <v>117</v>
      </c>
      <c r="D133" s="75"/>
      <c r="E133" s="75"/>
      <c r="F133" s="75"/>
      <c r="G133" s="75"/>
      <c r="H133" s="75"/>
      <c r="I133" s="3"/>
      <c r="J133" s="3"/>
      <c r="K133" s="1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  <c r="Z133" s="203"/>
      <c r="AA133" s="203"/>
      <c r="AB133" s="203"/>
      <c r="AC133" s="203"/>
      <c r="AD133" s="203"/>
      <c r="AE133" s="203"/>
      <c r="AF133" s="203"/>
      <c r="AG133" s="203"/>
      <c r="AH133" s="203"/>
      <c r="AI133" s="203"/>
      <c r="AJ133" s="203"/>
      <c r="AK133" s="203"/>
      <c r="AL133" s="203"/>
      <c r="AM133" s="203"/>
      <c r="AN133" s="203"/>
    </row>
    <row r="134" spans="1:40" ht="15.75" thickBot="1">
      <c r="A134" s="9"/>
      <c r="B134" s="3"/>
      <c r="C134" s="96"/>
      <c r="D134" s="75"/>
      <c r="E134" s="4" t="s">
        <v>0</v>
      </c>
      <c r="F134" s="75"/>
      <c r="G134" s="75"/>
      <c r="H134" s="75"/>
      <c r="I134" s="75"/>
      <c r="J134" s="75"/>
      <c r="K134" s="1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</row>
    <row r="135" spans="1:40" ht="16.5" customHeight="1">
      <c r="A135" s="9">
        <f>+A119+1</f>
        <v>93</v>
      </c>
      <c r="B135" s="3"/>
      <c r="C135" s="2" t="s">
        <v>105</v>
      </c>
      <c r="D135" s="75"/>
      <c r="E135" s="1" t="str">
        <f>"Column (3) line "&amp;A16&amp;""</f>
        <v>Column (3) line 2</v>
      </c>
      <c r="F135" s="1"/>
      <c r="G135" s="1"/>
      <c r="H135" s="1"/>
      <c r="I135" s="1"/>
      <c r="J135" s="1">
        <f>+E16</f>
        <v>247921012.02153847</v>
      </c>
      <c r="K135" s="1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</row>
    <row r="136" spans="1:40">
      <c r="A136" s="9">
        <f>+A135+1</f>
        <v>94</v>
      </c>
      <c r="B136" s="3"/>
      <c r="C136" s="2" t="s">
        <v>86</v>
      </c>
      <c r="D136" s="3"/>
      <c r="E136" s="3" t="s">
        <v>170</v>
      </c>
      <c r="F136" s="3"/>
      <c r="G136" s="3"/>
      <c r="H136" s="3"/>
      <c r="I136" s="3"/>
      <c r="J136" s="279">
        <v>42807119.756921023</v>
      </c>
      <c r="K136" s="1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</row>
    <row r="137" spans="1:40" ht="15.75" thickBot="1">
      <c r="A137" s="9">
        <f t="shared" ref="A137:A199" si="5">+A136+1</f>
        <v>95</v>
      </c>
      <c r="B137" s="3"/>
      <c r="C137" s="235" t="s">
        <v>87</v>
      </c>
      <c r="D137" s="236"/>
      <c r="E137" s="4" t="s">
        <v>170</v>
      </c>
      <c r="F137" s="1"/>
      <c r="G137" s="1"/>
      <c r="H137" s="180"/>
      <c r="I137" s="1"/>
      <c r="J137" s="4">
        <v>0</v>
      </c>
      <c r="K137" s="1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</row>
    <row r="138" spans="1:40">
      <c r="A138" s="9">
        <f t="shared" si="5"/>
        <v>96</v>
      </c>
      <c r="B138" s="3"/>
      <c r="C138" s="2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75"/>
      <c r="E138" s="1"/>
      <c r="F138" s="1"/>
      <c r="G138" s="1"/>
      <c r="H138" s="180"/>
      <c r="I138" s="1"/>
      <c r="J138" s="1">
        <f>J135-J136-J137</f>
        <v>205113892.26461744</v>
      </c>
      <c r="K138" s="1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</row>
    <row r="139" spans="1:40">
      <c r="A139" s="9">
        <f t="shared" si="5"/>
        <v>97</v>
      </c>
      <c r="B139" s="3"/>
      <c r="C139" s="2" t="str">
        <f>"Plus Common Use AC Facilities (line "&amp;A149&amp;")"</f>
        <v>Plus Common Use AC Facilities (line 107)</v>
      </c>
      <c r="D139" s="75"/>
      <c r="E139" s="1"/>
      <c r="F139" s="1"/>
      <c r="G139" s="1"/>
      <c r="H139" s="180"/>
      <c r="I139" s="1"/>
      <c r="J139" s="1">
        <f>+J149</f>
        <v>11076337.285</v>
      </c>
      <c r="K139" s="1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</row>
    <row r="140" spans="1:40">
      <c r="A140" s="9">
        <f t="shared" si="5"/>
        <v>98</v>
      </c>
      <c r="B140" s="3"/>
      <c r="C140" s="2" t="str">
        <f>"Total Gross Plant for the CUS System (line "&amp;A138&amp;" plus line "&amp;A139&amp;")"</f>
        <v>Total Gross Plant for the CUS System (line 96 plus line 97)</v>
      </c>
      <c r="D140" s="75"/>
      <c r="E140" s="1"/>
      <c r="F140" s="1"/>
      <c r="G140" s="1"/>
      <c r="H140" s="180"/>
      <c r="I140" s="1"/>
      <c r="J140" s="237">
        <f>SUM(J138:J139)</f>
        <v>216190229.54961744</v>
      </c>
      <c r="K140" s="1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</row>
    <row r="141" spans="1:40">
      <c r="A141" s="9">
        <f t="shared" si="5"/>
        <v>99</v>
      </c>
      <c r="B141" s="3"/>
      <c r="C141" s="2" t="str">
        <f>"Total CUS Plant (line "&amp;A135&amp;" plus line "&amp;A149&amp;")"</f>
        <v>Total CUS Plant (line 93 plus line 107)</v>
      </c>
      <c r="D141" s="75"/>
      <c r="E141" s="1"/>
      <c r="F141" s="1"/>
      <c r="G141" s="1"/>
      <c r="H141" s="180"/>
      <c r="I141" s="1"/>
      <c r="J141" s="217">
        <f>+J135+J149</f>
        <v>258997349.30653846</v>
      </c>
      <c r="K141" s="1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</row>
    <row r="142" spans="1:40">
      <c r="A142" s="9">
        <f t="shared" si="5"/>
        <v>100</v>
      </c>
      <c r="B142" s="3"/>
      <c r="C142" s="3"/>
      <c r="D142" s="75"/>
      <c r="E142" s="1"/>
      <c r="F142" s="1"/>
      <c r="G142" s="1"/>
      <c r="H142" s="180"/>
      <c r="I142" s="1"/>
      <c r="J142" s="3"/>
      <c r="K142" s="1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</row>
    <row r="143" spans="1:40">
      <c r="A143" s="9">
        <f t="shared" si="5"/>
        <v>101</v>
      </c>
      <c r="B143" s="3"/>
      <c r="C143" s="2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173"/>
      <c r="E143" s="238"/>
      <c r="F143" s="238"/>
      <c r="G143" s="238"/>
      <c r="H143" s="205"/>
      <c r="I143" s="1" t="s">
        <v>244</v>
      </c>
      <c r="J143" s="239">
        <f>ROUND(IF(J141&gt;0,J140/J141,0),6)</f>
        <v>0.83472000000000002</v>
      </c>
      <c r="K143" s="1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</row>
    <row r="144" spans="1:40">
      <c r="A144" s="9">
        <f t="shared" si="5"/>
        <v>102</v>
      </c>
      <c r="B144" s="3"/>
      <c r="C144" s="3"/>
      <c r="D144" s="3"/>
      <c r="E144" s="3"/>
      <c r="F144" s="3"/>
      <c r="G144" s="3"/>
      <c r="H144" s="3"/>
      <c r="I144" s="3"/>
      <c r="J144" s="3"/>
      <c r="K144" s="1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</row>
    <row r="145" spans="1:40" ht="15.75" thickBot="1">
      <c r="A145" s="9">
        <f t="shared" si="5"/>
        <v>103</v>
      </c>
      <c r="B145" s="3"/>
      <c r="C145" s="96" t="s">
        <v>103</v>
      </c>
      <c r="D145" s="75"/>
      <c r="E145" s="4" t="s">
        <v>0</v>
      </c>
      <c r="F145" s="75"/>
      <c r="G145" s="75"/>
      <c r="H145" s="75"/>
      <c r="I145" s="75"/>
      <c r="J145" s="75"/>
      <c r="K145" s="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</row>
    <row r="146" spans="1:40">
      <c r="A146" s="9">
        <f t="shared" si="5"/>
        <v>104</v>
      </c>
      <c r="B146" s="3"/>
      <c r="C146" s="2" t="s">
        <v>104</v>
      </c>
      <c r="D146" s="75"/>
      <c r="E146" s="1" t="str">
        <f>"Column (3) line "&amp;A17&amp;""</f>
        <v>Column (3) line 3</v>
      </c>
      <c r="F146" s="1"/>
      <c r="G146" s="1"/>
      <c r="H146" s="1"/>
      <c r="I146" s="1"/>
      <c r="J146" s="1">
        <f>+E17</f>
        <v>480906541.37538469</v>
      </c>
      <c r="K146" s="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</row>
    <row r="147" spans="1:40">
      <c r="A147" s="9">
        <f t="shared" si="5"/>
        <v>105</v>
      </c>
      <c r="B147" s="3"/>
      <c r="C147" s="2" t="s">
        <v>107</v>
      </c>
      <c r="D147" s="3"/>
      <c r="E147" s="3" t="s">
        <v>170</v>
      </c>
      <c r="F147" s="3"/>
      <c r="G147" s="3"/>
      <c r="H147" s="3"/>
      <c r="I147" s="3"/>
      <c r="J147" s="1">
        <f>+J146-J149</f>
        <v>469830204.09038466</v>
      </c>
      <c r="K147" s="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15.75" thickBot="1">
      <c r="A148" s="9">
        <f t="shared" si="5"/>
        <v>106</v>
      </c>
      <c r="B148" s="3"/>
      <c r="C148" s="235" t="s">
        <v>108</v>
      </c>
      <c r="D148" s="236"/>
      <c r="E148" s="4" t="s">
        <v>170</v>
      </c>
      <c r="F148" s="1"/>
      <c r="G148" s="1"/>
      <c r="H148" s="180"/>
      <c r="I148" s="1"/>
      <c r="J148" s="4">
        <v>0</v>
      </c>
      <c r="K148" s="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</row>
    <row r="149" spans="1:40">
      <c r="A149" s="9">
        <f t="shared" si="5"/>
        <v>107</v>
      </c>
      <c r="B149" s="3"/>
      <c r="C149" s="2" t="str">
        <f>"Common Use AC Facilities (line "&amp;A146&amp;" less lines "&amp;A147&amp;" &amp; "&amp;A148&amp;")"</f>
        <v>Common Use AC Facilities (line 104 less lines 105 &amp; 106)</v>
      </c>
      <c r="D149" s="75"/>
      <c r="E149" s="1"/>
      <c r="F149" s="1"/>
      <c r="G149" s="1"/>
      <c r="H149" s="180"/>
      <c r="I149" s="1"/>
      <c r="J149" s="279">
        <v>11076337.285</v>
      </c>
      <c r="K149" s="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</row>
    <row r="150" spans="1:40">
      <c r="A150" s="9">
        <f t="shared" si="5"/>
        <v>108</v>
      </c>
      <c r="B150" s="3"/>
      <c r="C150" s="3"/>
      <c r="D150" s="75"/>
      <c r="E150" s="1"/>
      <c r="F150" s="1"/>
      <c r="G150" s="1"/>
      <c r="H150" s="180"/>
      <c r="I150" s="1"/>
      <c r="J150" s="3"/>
      <c r="K150" s="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</row>
    <row r="151" spans="1:40">
      <c r="A151" s="9">
        <f t="shared" si="5"/>
        <v>109</v>
      </c>
      <c r="B151" s="3"/>
      <c r="C151" s="2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173"/>
      <c r="E151" s="238"/>
      <c r="F151" s="238"/>
      <c r="G151" s="238"/>
      <c r="H151" s="205"/>
      <c r="I151" s="1" t="s">
        <v>106</v>
      </c>
      <c r="J151" s="239">
        <f>ROUND(IF(J146&gt;0,J149/J146,0),6)</f>
        <v>2.3032E-2</v>
      </c>
      <c r="K151" s="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</row>
    <row r="152" spans="1:40">
      <c r="A152" s="9">
        <f t="shared" si="5"/>
        <v>110</v>
      </c>
      <c r="B152" s="3"/>
      <c r="C152" s="3"/>
      <c r="D152" s="75"/>
      <c r="E152" s="1"/>
      <c r="F152" s="1"/>
      <c r="G152" s="1"/>
      <c r="H152" s="180"/>
      <c r="I152" s="1"/>
      <c r="J152" s="3"/>
      <c r="K152" s="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</row>
    <row r="153" spans="1:40" ht="15.75" thickBot="1">
      <c r="A153" s="9">
        <f t="shared" si="5"/>
        <v>111</v>
      </c>
      <c r="B153" s="3"/>
      <c r="C153" s="96" t="s">
        <v>222</v>
      </c>
      <c r="D153" s="75"/>
      <c r="E153" s="4" t="s">
        <v>0</v>
      </c>
      <c r="F153" s="1"/>
      <c r="G153" s="1"/>
      <c r="H153" s="180"/>
      <c r="I153" s="1"/>
      <c r="J153" s="1"/>
      <c r="K153" s="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</row>
    <row r="154" spans="1:40">
      <c r="A154" s="9">
        <f t="shared" si="5"/>
        <v>112</v>
      </c>
      <c r="B154" s="3"/>
      <c r="C154" s="3" t="s">
        <v>78</v>
      </c>
      <c r="D154" s="75"/>
      <c r="E154" s="1" t="str">
        <f>"Column (3) line "&amp;A26&amp;""</f>
        <v>Column (3) line 12</v>
      </c>
      <c r="F154" s="1"/>
      <c r="G154" s="1"/>
      <c r="H154" s="180"/>
      <c r="I154" s="1"/>
      <c r="J154" s="1">
        <f>+E26</f>
        <v>47130771.210981689</v>
      </c>
      <c r="K154" s="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</row>
    <row r="155" spans="1:40">
      <c r="A155" s="9">
        <f t="shared" si="5"/>
        <v>113</v>
      </c>
      <c r="B155" s="3"/>
      <c r="C155" s="2" t="s">
        <v>405</v>
      </c>
      <c r="D155" s="75"/>
      <c r="E155" s="1" t="s">
        <v>170</v>
      </c>
      <c r="F155" s="1"/>
      <c r="G155" s="1"/>
      <c r="H155" s="180"/>
      <c r="I155" s="1"/>
      <c r="J155" s="280">
        <v>9228172.4719255492</v>
      </c>
      <c r="K155" s="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</row>
    <row r="156" spans="1:40">
      <c r="A156" s="9">
        <f t="shared" si="5"/>
        <v>114</v>
      </c>
      <c r="B156" s="3"/>
      <c r="C156" s="240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241"/>
      <c r="E156" s="237"/>
      <c r="F156" s="1"/>
      <c r="G156" s="1"/>
      <c r="H156" s="180"/>
      <c r="I156" s="1"/>
      <c r="J156" s="237">
        <f>J154-J155</f>
        <v>37902598.73905614</v>
      </c>
      <c r="K156" s="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</row>
    <row r="157" spans="1:40">
      <c r="A157" s="9">
        <f t="shared" si="5"/>
        <v>115</v>
      </c>
      <c r="B157" s="3"/>
      <c r="C157" s="2" t="str">
        <f>"Plus Common Use AC Facilities Accumulated Depreciation (line "&amp;A166&amp;")"</f>
        <v>Plus Common Use AC Facilities Accumulated Depreciation (line 124)</v>
      </c>
      <c r="D157" s="242"/>
      <c r="E157" s="217"/>
      <c r="F157" s="1"/>
      <c r="G157" s="1"/>
      <c r="H157" s="180"/>
      <c r="I157" s="1"/>
      <c r="J157" s="217">
        <f>+J166</f>
        <v>4265151.92</v>
      </c>
      <c r="K157" s="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</row>
    <row r="158" spans="1:40">
      <c r="A158" s="9">
        <f t="shared" si="5"/>
        <v>116</v>
      </c>
      <c r="B158" s="3"/>
      <c r="C158" s="2" t="str">
        <f>"Total Accumulated Depreciation for the CUS System (line "&amp;A156&amp;" plus line "&amp;A157&amp;")"</f>
        <v>Total Accumulated Depreciation for the CUS System (line 114 plus line 115)</v>
      </c>
      <c r="D158" s="242"/>
      <c r="E158" s="217"/>
      <c r="F158" s="1"/>
      <c r="G158" s="1"/>
      <c r="H158" s="180"/>
      <c r="I158" s="1"/>
      <c r="J158" s="237">
        <f>SUM(J156:J157)</f>
        <v>42167750.659056142</v>
      </c>
      <c r="K158" s="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</row>
    <row r="159" spans="1:40">
      <c r="A159" s="9">
        <f t="shared" si="5"/>
        <v>117</v>
      </c>
      <c r="B159" s="3"/>
      <c r="C159" s="2" t="str">
        <f>"Total CUS Accumulated Depreciation (line "&amp;A154&amp;" plus line "&amp;A157&amp;")"</f>
        <v>Total CUS Accumulated Depreciation (line 112 plus line 115)</v>
      </c>
      <c r="D159" s="242"/>
      <c r="E159" s="217"/>
      <c r="F159" s="1"/>
      <c r="G159" s="1"/>
      <c r="H159" s="180"/>
      <c r="I159" s="1"/>
      <c r="J159" s="217">
        <f>+J154+J157</f>
        <v>51395923.130981691</v>
      </c>
      <c r="K159" s="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</row>
    <row r="160" spans="1:40">
      <c r="A160" s="9">
        <f t="shared" si="5"/>
        <v>118</v>
      </c>
      <c r="B160" s="3"/>
      <c r="C160" s="3"/>
      <c r="D160" s="75"/>
      <c r="E160" s="1"/>
      <c r="F160" s="1"/>
      <c r="G160" s="1"/>
      <c r="H160" s="180"/>
      <c r="I160" s="1"/>
      <c r="J160" s="1"/>
      <c r="K160" s="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</row>
    <row r="161" spans="1:40">
      <c r="A161" s="9">
        <f t="shared" si="5"/>
        <v>119</v>
      </c>
      <c r="B161" s="3"/>
      <c r="C161" s="2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75"/>
      <c r="E161" s="1"/>
      <c r="F161" s="1"/>
      <c r="G161" s="1"/>
      <c r="H161" s="180"/>
      <c r="I161" s="1" t="s">
        <v>79</v>
      </c>
      <c r="J161" s="239">
        <f>ROUND(IF(J159&gt;0,J158/J159,0),6)</f>
        <v>0.82044899999999998</v>
      </c>
      <c r="K161" s="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</row>
    <row r="162" spans="1:40">
      <c r="A162" s="9">
        <f t="shared" si="5"/>
        <v>120</v>
      </c>
      <c r="B162" s="3"/>
      <c r="C162" s="3"/>
      <c r="D162" s="75"/>
      <c r="E162" s="1"/>
      <c r="F162" s="1"/>
      <c r="G162" s="1"/>
      <c r="H162" s="180"/>
      <c r="I162" s="1"/>
      <c r="J162" s="1"/>
      <c r="K162" s="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</row>
    <row r="163" spans="1:40" ht="15.75" thickBot="1">
      <c r="A163" s="9">
        <f t="shared" si="5"/>
        <v>121</v>
      </c>
      <c r="B163" s="3"/>
      <c r="C163" s="3"/>
      <c r="D163" s="75"/>
      <c r="E163" s="4" t="s">
        <v>0</v>
      </c>
      <c r="F163" s="1"/>
      <c r="G163" s="1"/>
      <c r="H163" s="180"/>
      <c r="I163" s="1"/>
      <c r="J163" s="1"/>
      <c r="K163" s="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</row>
    <row r="164" spans="1:40">
      <c r="A164" s="9">
        <f t="shared" si="5"/>
        <v>122</v>
      </c>
      <c r="B164" s="3"/>
      <c r="C164" s="3" t="s">
        <v>81</v>
      </c>
      <c r="D164" s="75"/>
      <c r="E164" s="1" t="str">
        <f>"Column (3) line "&amp;A27&amp;""</f>
        <v>Column (3) line 13</v>
      </c>
      <c r="F164" s="1"/>
      <c r="G164" s="1"/>
      <c r="H164" s="180"/>
      <c r="I164" s="1"/>
      <c r="J164" s="1">
        <f>+E27</f>
        <v>160005259.87232211</v>
      </c>
      <c r="K164" s="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</row>
    <row r="165" spans="1:40">
      <c r="A165" s="9">
        <f t="shared" si="5"/>
        <v>123</v>
      </c>
      <c r="B165" s="3"/>
      <c r="C165" s="3" t="s">
        <v>171</v>
      </c>
      <c r="D165" s="75"/>
      <c r="E165" s="1"/>
      <c r="F165" s="1"/>
      <c r="G165" s="1"/>
      <c r="H165" s="180"/>
      <c r="I165" s="1"/>
      <c r="J165" s="1">
        <f>+J164-J166</f>
        <v>155740107.95232213</v>
      </c>
      <c r="K165" s="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</row>
    <row r="166" spans="1:40">
      <c r="A166" s="9">
        <f t="shared" si="5"/>
        <v>124</v>
      </c>
      <c r="B166" s="3"/>
      <c r="C166" s="243" t="str">
        <f>"Common Use AC Facilities (line "&amp;A164&amp;" less line "&amp;A165&amp;")"</f>
        <v>Common Use AC Facilities (line 122 less line 123)</v>
      </c>
      <c r="D166" s="241"/>
      <c r="E166" s="237"/>
      <c r="F166" s="1"/>
      <c r="G166" s="1"/>
      <c r="H166" s="180"/>
      <c r="I166" s="1"/>
      <c r="J166" s="281">
        <v>4265151.92</v>
      </c>
      <c r="K166" s="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</row>
    <row r="167" spans="1:40">
      <c r="A167" s="9">
        <f t="shared" si="5"/>
        <v>125</v>
      </c>
      <c r="B167" s="3"/>
      <c r="C167" s="3"/>
      <c r="D167" s="75"/>
      <c r="E167" s="1"/>
      <c r="F167" s="1"/>
      <c r="G167" s="1"/>
      <c r="H167" s="180"/>
      <c r="I167" s="1"/>
      <c r="J167" s="1"/>
      <c r="K167" s="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</row>
    <row r="168" spans="1:40">
      <c r="A168" s="9">
        <f t="shared" si="5"/>
        <v>126</v>
      </c>
      <c r="B168" s="3"/>
      <c r="C168" s="2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75"/>
      <c r="E168" s="1"/>
      <c r="F168" s="1"/>
      <c r="G168" s="1"/>
      <c r="H168" s="180"/>
      <c r="I168" s="1" t="s">
        <v>82</v>
      </c>
      <c r="J168" s="239">
        <f>ROUND(IF(J164&gt;0,J166/J164,0),6)</f>
        <v>2.6655999999999999E-2</v>
      </c>
      <c r="K168" s="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</row>
    <row r="169" spans="1:40">
      <c r="A169" s="9">
        <f t="shared" si="5"/>
        <v>127</v>
      </c>
      <c r="B169" s="3"/>
      <c r="C169" s="3"/>
      <c r="D169" s="75"/>
      <c r="E169" s="1"/>
      <c r="F169" s="1"/>
      <c r="G169" s="1"/>
      <c r="H169" s="180"/>
      <c r="I169" s="1"/>
      <c r="J169" s="1"/>
      <c r="K169" s="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</row>
    <row r="170" spans="1:40">
      <c r="A170" s="9">
        <f t="shared" si="5"/>
        <v>128</v>
      </c>
      <c r="B170" s="3"/>
      <c r="C170" s="97" t="s">
        <v>245</v>
      </c>
      <c r="D170" s="1"/>
      <c r="E170" s="1"/>
      <c r="F170" s="1"/>
      <c r="G170" s="1"/>
      <c r="H170" s="1"/>
      <c r="I170" s="1"/>
      <c r="J170" s="1"/>
      <c r="K170" s="1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</row>
    <row r="171" spans="1:40" ht="15.75" thickBot="1">
      <c r="A171" s="9">
        <f t="shared" si="5"/>
        <v>129</v>
      </c>
      <c r="B171" s="3"/>
      <c r="C171" s="97"/>
      <c r="D171" s="4" t="s">
        <v>246</v>
      </c>
      <c r="E171" s="244" t="s">
        <v>247</v>
      </c>
      <c r="F171" s="244" t="s">
        <v>200</v>
      </c>
      <c r="G171" s="1"/>
      <c r="H171" s="244" t="s">
        <v>248</v>
      </c>
      <c r="I171" s="217"/>
      <c r="J171" s="245"/>
      <c r="K171" s="1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</row>
    <row r="172" spans="1:40">
      <c r="A172" s="9">
        <f t="shared" si="5"/>
        <v>130</v>
      </c>
      <c r="B172" s="3"/>
      <c r="C172" s="97" t="s">
        <v>215</v>
      </c>
      <c r="D172" s="1" t="s">
        <v>127</v>
      </c>
      <c r="E172" s="279">
        <v>1819692.8</v>
      </c>
      <c r="F172" s="246">
        <f>+J143</f>
        <v>0.83472000000000002</v>
      </c>
      <c r="G172" s="3"/>
      <c r="H172" s="1">
        <f>E172*F172</f>
        <v>1518933.9740160001</v>
      </c>
      <c r="I172" s="217"/>
      <c r="J172" s="247"/>
      <c r="K172" s="1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</row>
    <row r="173" spans="1:40">
      <c r="A173" s="9">
        <f t="shared" si="5"/>
        <v>131</v>
      </c>
      <c r="B173" s="3"/>
      <c r="C173" s="97" t="s">
        <v>141</v>
      </c>
      <c r="D173" s="1" t="s">
        <v>142</v>
      </c>
      <c r="E173" s="279">
        <v>27262764</v>
      </c>
      <c r="F173" s="246">
        <v>0</v>
      </c>
      <c r="G173" s="246"/>
      <c r="H173" s="1">
        <f>E173*F173</f>
        <v>0</v>
      </c>
      <c r="I173" s="217"/>
      <c r="J173" s="245" t="s">
        <v>249</v>
      </c>
      <c r="K173" s="1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</row>
    <row r="174" spans="1:40" ht="15.75" thickBot="1">
      <c r="A174" s="9">
        <f t="shared" si="5"/>
        <v>132</v>
      </c>
      <c r="B174" s="3"/>
      <c r="C174" s="97" t="s">
        <v>143</v>
      </c>
      <c r="D174" s="1" t="s">
        <v>144</v>
      </c>
      <c r="E174" s="282">
        <v>-13681412</v>
      </c>
      <c r="F174" s="246">
        <v>0</v>
      </c>
      <c r="G174" s="246"/>
      <c r="H174" s="4">
        <f>E174*F174</f>
        <v>0</v>
      </c>
      <c r="I174" s="217"/>
      <c r="J174" s="178" t="s">
        <v>250</v>
      </c>
      <c r="K174" s="1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</row>
    <row r="175" spans="1:40">
      <c r="A175" s="9">
        <f t="shared" si="5"/>
        <v>133</v>
      </c>
      <c r="B175" s="3"/>
      <c r="C175" s="97" t="str">
        <f>"  Adjusted Total  (sum lines "&amp;A173&amp;"-"&amp;A174&amp;")"</f>
        <v xml:space="preserve">  Adjusted Total  (sum lines 131-132)</v>
      </c>
      <c r="D175" s="1"/>
      <c r="E175" s="1">
        <f>SUM(E173:E174)</f>
        <v>13581352</v>
      </c>
      <c r="F175" s="1"/>
      <c r="G175" s="3"/>
      <c r="H175" s="1">
        <f>SUM(H172:H174)</f>
        <v>1518933.9740160001</v>
      </c>
      <c r="I175" s="1" t="s">
        <v>92</v>
      </c>
      <c r="J175" s="209">
        <f>IF(E175&gt;0,+H175/E175,0)</f>
        <v>0.11183967354767037</v>
      </c>
      <c r="K175" s="180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</row>
    <row r="176" spans="1:40">
      <c r="A176" s="9">
        <f t="shared" si="5"/>
        <v>134</v>
      </c>
      <c r="B176" s="3"/>
      <c r="C176" s="97"/>
      <c r="D176" s="1"/>
      <c r="E176" s="1"/>
      <c r="F176" s="1"/>
      <c r="G176" s="1"/>
      <c r="H176" s="1"/>
      <c r="I176" s="1"/>
      <c r="J176" s="1"/>
      <c r="K176" s="1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</row>
    <row r="177" spans="1:40">
      <c r="A177" s="9">
        <f t="shared" si="5"/>
        <v>135</v>
      </c>
      <c r="B177" s="3"/>
      <c r="C177" s="97" t="s">
        <v>128</v>
      </c>
      <c r="D177" s="1"/>
      <c r="E177" s="1"/>
      <c r="F177" s="1"/>
      <c r="G177" s="1"/>
      <c r="H177" s="1"/>
      <c r="I177" s="1"/>
      <c r="J177" s="1"/>
      <c r="K177" s="1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</row>
    <row r="178" spans="1:40" ht="15.75" thickBot="1">
      <c r="A178" s="9">
        <f t="shared" si="5"/>
        <v>136</v>
      </c>
      <c r="B178" s="3"/>
      <c r="C178" s="97"/>
      <c r="D178" s="1"/>
      <c r="E178" s="244" t="s">
        <v>247</v>
      </c>
      <c r="F178" s="244" t="s">
        <v>254</v>
      </c>
      <c r="G178" s="214" t="s">
        <v>200</v>
      </c>
      <c r="H178" s="248" t="s">
        <v>131</v>
      </c>
      <c r="I178" s="226"/>
      <c r="J178" s="211"/>
      <c r="K178" s="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</row>
    <row r="179" spans="1:40">
      <c r="A179" s="9">
        <f t="shared" si="5"/>
        <v>137</v>
      </c>
      <c r="B179" s="3"/>
      <c r="C179" s="97" t="s">
        <v>129</v>
      </c>
      <c r="D179" s="87" t="s">
        <v>439</v>
      </c>
      <c r="E179" s="1">
        <f>J135-J154</f>
        <v>200790240.81055677</v>
      </c>
      <c r="F179" s="89">
        <f>IF(E181&gt;0,+E179/E181,0)</f>
        <v>0.38488308171097707</v>
      </c>
      <c r="G179" s="249">
        <f>+J143</f>
        <v>0.83472000000000002</v>
      </c>
      <c r="H179" s="250">
        <f>IF(F179&gt;0,+G179*F179,0)</f>
        <v>0.3212696059657868</v>
      </c>
      <c r="I179" s="251"/>
      <c r="J179" s="9"/>
      <c r="K179" s="1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</row>
    <row r="180" spans="1:40">
      <c r="A180" s="9">
        <f t="shared" si="5"/>
        <v>138</v>
      </c>
      <c r="B180" s="3"/>
      <c r="C180" s="97" t="s">
        <v>130</v>
      </c>
      <c r="D180" s="87" t="s">
        <v>440</v>
      </c>
      <c r="E180" s="1">
        <f>J146-J164</f>
        <v>320901281.50306261</v>
      </c>
      <c r="F180" s="89">
        <f>IF(E181&gt;0,+E180/E181,0)</f>
        <v>0.61511691828902293</v>
      </c>
      <c r="G180" s="3"/>
      <c r="H180" s="224"/>
      <c r="I180" s="180"/>
      <c r="J180" s="224"/>
      <c r="K180" s="226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</row>
    <row r="181" spans="1:40">
      <c r="A181" s="9">
        <f t="shared" si="5"/>
        <v>139</v>
      </c>
      <c r="B181" s="3"/>
      <c r="C181" s="97" t="str">
        <f>"  Total  (sum lines "&amp;A179&amp;" - "&amp;A180&amp;")"</f>
        <v xml:space="preserve">  Total  (sum lines 137 - 138)</v>
      </c>
      <c r="D181" s="1"/>
      <c r="E181" s="237">
        <f>SUM(E179:E180)</f>
        <v>521691522.31361938</v>
      </c>
      <c r="F181" s="252">
        <f>SUM(F179:F180)</f>
        <v>1</v>
      </c>
      <c r="G181" s="1"/>
      <c r="H181" s="1"/>
      <c r="I181" s="1" t="s">
        <v>132</v>
      </c>
      <c r="J181" s="253">
        <f>+H179</f>
        <v>0.3212696059657868</v>
      </c>
      <c r="K181" s="1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</row>
    <row r="182" spans="1:40">
      <c r="A182" s="9">
        <f t="shared" si="5"/>
        <v>140</v>
      </c>
      <c r="B182" s="3"/>
      <c r="C182" s="97"/>
      <c r="D182" s="1"/>
      <c r="E182" s="3"/>
      <c r="F182" s="1"/>
      <c r="G182" s="1"/>
      <c r="H182" s="1"/>
      <c r="I182" s="1"/>
      <c r="J182" s="253"/>
      <c r="K182" s="1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</row>
    <row r="183" spans="1:40" s="256" customFormat="1" ht="15.75" thickBot="1">
      <c r="A183" s="9">
        <f t="shared" si="5"/>
        <v>141</v>
      </c>
      <c r="B183" s="254"/>
      <c r="C183" s="255" t="s">
        <v>252</v>
      </c>
      <c r="D183" s="214" t="s">
        <v>246</v>
      </c>
      <c r="E183" s="1"/>
      <c r="F183" s="1"/>
      <c r="G183" s="1"/>
      <c r="H183" s="1"/>
      <c r="I183" s="1"/>
      <c r="J183" s="244" t="s">
        <v>247</v>
      </c>
      <c r="K183" s="1"/>
      <c r="L183" s="203"/>
      <c r="M183" s="203"/>
      <c r="N183" s="203"/>
    </row>
    <row r="184" spans="1:40">
      <c r="A184" s="9">
        <f t="shared" si="5"/>
        <v>142</v>
      </c>
      <c r="B184" s="254"/>
      <c r="C184" s="75" t="s">
        <v>329</v>
      </c>
      <c r="D184" s="1" t="s">
        <v>441</v>
      </c>
      <c r="E184" s="1"/>
      <c r="F184" s="1"/>
      <c r="G184" s="1"/>
      <c r="H184" s="1"/>
      <c r="I184" s="1"/>
      <c r="J184" s="283">
        <v>20634667</v>
      </c>
      <c r="K184" s="1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</row>
    <row r="185" spans="1:40">
      <c r="A185" s="9">
        <f t="shared" si="5"/>
        <v>143</v>
      </c>
      <c r="B185" s="256"/>
      <c r="C185" s="97"/>
      <c r="D185" s="1"/>
      <c r="E185" s="1"/>
      <c r="F185" s="1"/>
      <c r="G185" s="1"/>
      <c r="H185" s="1"/>
      <c r="I185" s="1"/>
      <c r="J185" s="1"/>
      <c r="K185" s="1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</row>
    <row r="186" spans="1:40">
      <c r="A186" s="9">
        <f t="shared" si="5"/>
        <v>144</v>
      </c>
      <c r="B186" s="254"/>
      <c r="C186" s="97" t="s">
        <v>330</v>
      </c>
      <c r="D186" s="1" t="s">
        <v>331</v>
      </c>
      <c r="E186" s="1"/>
      <c r="F186" s="1"/>
      <c r="G186" s="1"/>
      <c r="H186" s="1"/>
      <c r="I186" s="1"/>
      <c r="J186" s="19">
        <v>0</v>
      </c>
      <c r="K186" s="1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>
      <c r="A187" s="9">
        <f t="shared" si="5"/>
        <v>145</v>
      </c>
      <c r="B187" s="254"/>
      <c r="C187" s="97"/>
      <c r="D187" s="1"/>
      <c r="E187" s="1"/>
      <c r="F187" s="1"/>
      <c r="G187" s="1"/>
      <c r="H187" s="1"/>
      <c r="I187" s="1"/>
      <c r="J187" s="1"/>
      <c r="K187" s="1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</row>
    <row r="188" spans="1:40">
      <c r="A188" s="9">
        <f t="shared" si="5"/>
        <v>146</v>
      </c>
      <c r="B188" s="254"/>
      <c r="C188" s="255" t="s">
        <v>332</v>
      </c>
      <c r="D188" s="214" t="s">
        <v>246</v>
      </c>
      <c r="E188" s="1"/>
      <c r="F188" s="1"/>
      <c r="G188" s="1"/>
      <c r="H188" s="1"/>
      <c r="I188" s="1"/>
      <c r="J188" s="1"/>
      <c r="K188" s="1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</row>
    <row r="189" spans="1:40">
      <c r="A189" s="9">
        <f t="shared" si="5"/>
        <v>147</v>
      </c>
      <c r="B189" s="254"/>
      <c r="C189" s="97" t="s">
        <v>22</v>
      </c>
      <c r="D189" s="1" t="s">
        <v>333</v>
      </c>
      <c r="E189" s="75"/>
      <c r="F189" s="1"/>
      <c r="G189" s="1"/>
      <c r="H189" s="1"/>
      <c r="I189" s="1"/>
      <c r="J189" s="283">
        <v>511999388</v>
      </c>
      <c r="K189" s="1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</row>
    <row r="190" spans="1:40">
      <c r="A190" s="9">
        <f t="shared" si="5"/>
        <v>148</v>
      </c>
      <c r="B190" s="254"/>
      <c r="C190" s="97" t="s">
        <v>334</v>
      </c>
      <c r="D190" s="1" t="s">
        <v>335</v>
      </c>
      <c r="E190" s="1"/>
      <c r="F190" s="1"/>
      <c r="G190" s="1"/>
      <c r="H190" s="1"/>
      <c r="I190" s="1"/>
      <c r="J190" s="19">
        <v>0</v>
      </c>
      <c r="K190" s="1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</row>
    <row r="191" spans="1:40">
      <c r="A191" s="9">
        <f t="shared" si="5"/>
        <v>149</v>
      </c>
      <c r="B191" s="254"/>
      <c r="C191" s="97" t="s">
        <v>336</v>
      </c>
      <c r="D191" s="1" t="s">
        <v>337</v>
      </c>
      <c r="E191" s="1"/>
      <c r="F191" s="1"/>
      <c r="G191" s="1"/>
      <c r="H191" s="1"/>
      <c r="I191" s="1"/>
      <c r="J191" s="47">
        <v>0</v>
      </c>
      <c r="K191" s="1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</row>
    <row r="192" spans="1:40" ht="15.75" thickBot="1">
      <c r="A192" s="9">
        <f t="shared" si="5"/>
        <v>150</v>
      </c>
      <c r="B192" s="254"/>
      <c r="C192" s="97" t="s">
        <v>338</v>
      </c>
      <c r="D192" s="1" t="s">
        <v>339</v>
      </c>
      <c r="E192" s="1"/>
      <c r="F192" s="1"/>
      <c r="G192" s="1"/>
      <c r="H192" s="1"/>
      <c r="I192" s="1"/>
      <c r="J192" s="284">
        <v>1129057</v>
      </c>
      <c r="K192" s="1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</row>
    <row r="193" spans="1:40">
      <c r="A193" s="9">
        <f t="shared" si="5"/>
        <v>151</v>
      </c>
      <c r="B193" s="254"/>
      <c r="C193" s="257" t="s">
        <v>340</v>
      </c>
      <c r="D193" s="1"/>
      <c r="E193" s="75" t="str">
        <f>"(sum lines "&amp;A189&amp;"-"&amp;A192&amp;")"</f>
        <v>(sum lines 147-150)</v>
      </c>
      <c r="F193" s="75"/>
      <c r="G193" s="75"/>
      <c r="H193" s="75"/>
      <c r="I193" s="75"/>
      <c r="J193" s="19">
        <f>SUM(J189:J192)</f>
        <v>513128445</v>
      </c>
      <c r="K193" s="1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</row>
    <row r="194" spans="1:40">
      <c r="A194" s="9">
        <f t="shared" si="5"/>
        <v>152</v>
      </c>
      <c r="B194" s="3"/>
      <c r="C194" s="97"/>
      <c r="D194" s="1"/>
      <c r="E194" s="1"/>
      <c r="F194" s="1"/>
      <c r="G194" s="1"/>
      <c r="H194" s="180"/>
      <c r="I194" s="1"/>
      <c r="J194" s="1"/>
      <c r="K194" s="1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</row>
    <row r="195" spans="1:40" ht="15.75" thickBot="1">
      <c r="A195" s="9">
        <f t="shared" si="5"/>
        <v>153</v>
      </c>
      <c r="B195" s="3"/>
      <c r="C195" s="97"/>
      <c r="D195" s="4" t="s">
        <v>246</v>
      </c>
      <c r="E195" s="258" t="s">
        <v>247</v>
      </c>
      <c r="F195" s="178" t="s">
        <v>254</v>
      </c>
      <c r="G195" s="1"/>
      <c r="H195" s="178" t="s">
        <v>253</v>
      </c>
      <c r="I195" s="1"/>
      <c r="J195" s="178" t="s">
        <v>255</v>
      </c>
      <c r="K195" s="1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</row>
    <row r="196" spans="1:40">
      <c r="A196" s="9">
        <f t="shared" si="5"/>
        <v>154</v>
      </c>
      <c r="B196" s="3"/>
      <c r="C196" s="96" t="s">
        <v>327</v>
      </c>
      <c r="D196" s="20" t="s">
        <v>391</v>
      </c>
      <c r="E196" s="279">
        <v>339926170</v>
      </c>
      <c r="F196" s="88">
        <v>0.43</v>
      </c>
      <c r="G196" s="259"/>
      <c r="H196" s="89">
        <f>IF(E196&gt;0,+J184/E196,0)</f>
        <v>6.0703378618951288E-2</v>
      </c>
      <c r="I196" s="3"/>
      <c r="J196" s="89">
        <f>H196*F196</f>
        <v>2.6102452806149052E-2</v>
      </c>
      <c r="K196" s="260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</row>
    <row r="197" spans="1:40">
      <c r="A197" s="9">
        <f t="shared" si="5"/>
        <v>155</v>
      </c>
      <c r="B197" s="3"/>
      <c r="C197" s="96" t="s">
        <v>328</v>
      </c>
      <c r="D197" s="208" t="s">
        <v>335</v>
      </c>
      <c r="E197" s="1"/>
      <c r="F197" s="88">
        <f>IF($E$199&gt;0,E197/$E$199,0)</f>
        <v>0</v>
      </c>
      <c r="G197" s="259"/>
      <c r="H197" s="89">
        <f>IF(E197&gt;0,J186/E197,0)</f>
        <v>0</v>
      </c>
      <c r="I197" s="3"/>
      <c r="J197" s="89">
        <f>H197*F197</f>
        <v>0</v>
      </c>
      <c r="K197" s="1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</row>
    <row r="198" spans="1:40" ht="15.75" thickBot="1">
      <c r="A198" s="9">
        <f t="shared" si="5"/>
        <v>156</v>
      </c>
      <c r="B198" s="3"/>
      <c r="C198" s="257" t="s">
        <v>341</v>
      </c>
      <c r="D198" s="208" t="str">
        <f>"(see above line "&amp;A193&amp;")"</f>
        <v>(see above line 151)</v>
      </c>
      <c r="E198" s="4">
        <f>+J193</f>
        <v>513128445</v>
      </c>
      <c r="F198" s="88">
        <v>0.56999999999999995</v>
      </c>
      <c r="G198" s="3" t="s">
        <v>172</v>
      </c>
      <c r="H198" s="89">
        <v>0.108</v>
      </c>
      <c r="I198" s="3" t="s">
        <v>172</v>
      </c>
      <c r="J198" s="261">
        <f>H198*F198</f>
        <v>6.1559999999999997E-2</v>
      </c>
      <c r="K198" s="1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</row>
    <row r="199" spans="1:40">
      <c r="A199" s="9">
        <f t="shared" si="5"/>
        <v>157</v>
      </c>
      <c r="B199" s="3"/>
      <c r="C199" s="97" t="str">
        <f>"Total  (sum lines "&amp;A196&amp;"-"&amp;A198&amp;")"</f>
        <v>Total  (sum lines 154-156)</v>
      </c>
      <c r="D199" s="3"/>
      <c r="E199" s="1">
        <f>E198+E197+E196</f>
        <v>853054615</v>
      </c>
      <c r="F199" s="1" t="s">
        <v>194</v>
      </c>
      <c r="G199" s="1"/>
      <c r="H199" s="1"/>
      <c r="I199" s="1" t="s">
        <v>357</v>
      </c>
      <c r="J199" s="89">
        <f>SUM(J196:J198)</f>
        <v>8.7662452806149052E-2</v>
      </c>
      <c r="K199" s="260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</row>
    <row r="200" spans="1:40">
      <c r="A200" s="9"/>
      <c r="B200" s="3"/>
      <c r="C200" s="97"/>
      <c r="D200" s="3"/>
      <c r="E200" s="1"/>
      <c r="F200" s="1"/>
      <c r="G200" s="1"/>
      <c r="H200" s="1"/>
      <c r="I200" s="86" t="s">
        <v>417</v>
      </c>
      <c r="J200" s="262">
        <f>J1</f>
        <v>44712</v>
      </c>
      <c r="K200" s="260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</row>
    <row r="201" spans="1:40">
      <c r="A201" s="3"/>
      <c r="B201" s="3"/>
      <c r="C201" s="3"/>
      <c r="D201" s="3"/>
      <c r="E201" s="3"/>
      <c r="F201" s="1"/>
      <c r="G201" s="1"/>
      <c r="I201" s="169" t="str">
        <f>$I$2</f>
        <v>Service Year</v>
      </c>
      <c r="J201" s="75">
        <f>$J$2</f>
        <v>2021</v>
      </c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</row>
    <row r="202" spans="1:40">
      <c r="A202" s="9"/>
      <c r="B202" s="3"/>
      <c r="C202" s="97"/>
      <c r="D202" s="75"/>
      <c r="E202" s="1"/>
      <c r="F202" s="1"/>
      <c r="G202" s="1"/>
      <c r="H202" s="1"/>
      <c r="I202" s="75"/>
      <c r="J202" s="1"/>
      <c r="K202" s="75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</row>
    <row r="203" spans="1:40" ht="15.75">
      <c r="A203" s="318" t="s">
        <v>321</v>
      </c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</row>
    <row r="204" spans="1:40" ht="15.75">
      <c r="A204" s="319" t="s">
        <v>195</v>
      </c>
      <c r="B204" s="319"/>
      <c r="C204" s="319"/>
      <c r="D204" s="319"/>
      <c r="E204" s="319"/>
      <c r="F204" s="319"/>
      <c r="G204" s="319"/>
      <c r="H204" s="319"/>
      <c r="I204" s="319"/>
      <c r="J204" s="319"/>
      <c r="K204" s="319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</row>
    <row r="205" spans="1:40">
      <c r="A205" s="3"/>
      <c r="B205" s="3"/>
      <c r="C205" s="75"/>
      <c r="D205" s="75"/>
      <c r="F205" s="75"/>
      <c r="G205" s="75"/>
      <c r="H205" s="75"/>
      <c r="I205" s="75"/>
      <c r="J205" s="75"/>
      <c r="K205" s="75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</row>
    <row r="206" spans="1:40" ht="15.75">
      <c r="A206" s="320" t="s">
        <v>320</v>
      </c>
      <c r="B206" s="320"/>
      <c r="C206" s="320"/>
      <c r="D206" s="320"/>
      <c r="E206" s="320"/>
      <c r="F206" s="320"/>
      <c r="G206" s="320"/>
      <c r="H206" s="320"/>
      <c r="I206" s="320"/>
      <c r="J206" s="320"/>
      <c r="K206" s="320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</row>
    <row r="207" spans="1:40">
      <c r="A207" s="9"/>
      <c r="B207" s="2"/>
      <c r="C207" s="263"/>
      <c r="D207" s="9"/>
      <c r="E207" s="1"/>
      <c r="F207" s="1"/>
      <c r="G207" s="1"/>
      <c r="H207" s="1"/>
      <c r="I207" s="2"/>
      <c r="J207" s="264"/>
      <c r="K207" s="265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</row>
    <row r="208" spans="1:40">
      <c r="A208" s="3"/>
      <c r="B208" s="2"/>
      <c r="C208" s="96"/>
      <c r="D208" s="9"/>
      <c r="E208" s="1"/>
      <c r="F208" s="1"/>
      <c r="G208" s="1"/>
      <c r="H208" s="1"/>
      <c r="I208" s="2"/>
      <c r="J208" s="1"/>
      <c r="K208" s="2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  <c r="Z208" s="203"/>
      <c r="AA208" s="203"/>
      <c r="AB208" s="203"/>
      <c r="AC208" s="203"/>
      <c r="AD208" s="203"/>
      <c r="AE208" s="203"/>
      <c r="AF208" s="203"/>
      <c r="AG208" s="203"/>
      <c r="AH208" s="203"/>
      <c r="AI208" s="203"/>
      <c r="AJ208" s="203"/>
      <c r="AK208" s="203"/>
      <c r="AL208" s="203"/>
      <c r="AM208" s="203"/>
      <c r="AN208" s="203"/>
    </row>
    <row r="209" spans="1:40">
      <c r="A209" s="9"/>
      <c r="B209" s="2"/>
      <c r="C209" s="96"/>
      <c r="D209" s="9"/>
      <c r="E209" s="1"/>
      <c r="F209" s="1"/>
      <c r="G209" s="1"/>
      <c r="H209" s="1"/>
      <c r="I209" s="2"/>
      <c r="J209" s="1"/>
      <c r="K209" s="2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203"/>
      <c r="AJ209" s="203"/>
      <c r="AK209" s="203"/>
      <c r="AL209" s="203"/>
      <c r="AM209" s="203"/>
      <c r="AN209" s="203"/>
    </row>
    <row r="210" spans="1:40">
      <c r="A210" s="9"/>
      <c r="B210" s="2"/>
      <c r="C210" s="96"/>
      <c r="D210" s="9"/>
      <c r="E210" s="1"/>
      <c r="F210" s="1"/>
      <c r="G210" s="1"/>
      <c r="H210" s="1"/>
      <c r="I210" s="2"/>
      <c r="J210" s="1"/>
      <c r="K210" s="2"/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  <c r="Z210" s="203"/>
      <c r="AA210" s="203"/>
      <c r="AB210" s="203"/>
      <c r="AC210" s="203"/>
      <c r="AD210" s="203"/>
      <c r="AE210" s="203"/>
      <c r="AF210" s="203"/>
      <c r="AG210" s="203"/>
      <c r="AH210" s="203"/>
      <c r="AI210" s="203"/>
      <c r="AJ210" s="203"/>
      <c r="AK210" s="203"/>
      <c r="AL210" s="203"/>
      <c r="AM210" s="203"/>
      <c r="AN210" s="203"/>
    </row>
    <row r="211" spans="1:40">
      <c r="A211" s="9" t="s">
        <v>256</v>
      </c>
      <c r="B211" s="2"/>
      <c r="C211" s="96"/>
      <c r="D211" s="2"/>
      <c r="E211" s="1"/>
      <c r="F211" s="1"/>
      <c r="G211" s="1"/>
      <c r="H211" s="1"/>
      <c r="I211" s="2"/>
      <c r="J211" s="1"/>
      <c r="K211" s="2"/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  <c r="Z211" s="203"/>
      <c r="AA211" s="203"/>
      <c r="AB211" s="203"/>
      <c r="AC211" s="203"/>
      <c r="AD211" s="203"/>
      <c r="AE211" s="203"/>
      <c r="AF211" s="203"/>
      <c r="AG211" s="203"/>
      <c r="AH211" s="203"/>
      <c r="AI211" s="203"/>
      <c r="AJ211" s="203"/>
      <c r="AK211" s="203"/>
      <c r="AL211" s="203"/>
      <c r="AM211" s="203"/>
      <c r="AN211" s="203"/>
    </row>
    <row r="212" spans="1:40" ht="15.75" thickBot="1">
      <c r="A212" s="178" t="s">
        <v>257</v>
      </c>
      <c r="B212" s="2"/>
      <c r="C212" s="96"/>
      <c r="D212" s="2"/>
      <c r="E212" s="1"/>
      <c r="F212" s="1"/>
      <c r="G212" s="1"/>
      <c r="H212" s="1"/>
      <c r="I212" s="2"/>
      <c r="J212" s="1"/>
      <c r="K212" s="2"/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3"/>
      <c r="AG212" s="203"/>
      <c r="AH212" s="203"/>
      <c r="AI212" s="203"/>
      <c r="AJ212" s="203"/>
      <c r="AK212" s="203"/>
      <c r="AL212" s="203"/>
      <c r="AM212" s="203"/>
      <c r="AN212" s="203"/>
    </row>
    <row r="213" spans="1:40">
      <c r="A213" s="9"/>
      <c r="B213" s="2"/>
      <c r="C213" s="96"/>
      <c r="D213" s="2"/>
      <c r="E213" s="1"/>
      <c r="F213" s="1"/>
      <c r="G213" s="1"/>
      <c r="H213" s="1"/>
      <c r="I213" s="2"/>
      <c r="J213" s="1"/>
      <c r="K213" s="2"/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  <c r="Z213" s="203"/>
      <c r="AA213" s="203"/>
      <c r="AB213" s="203"/>
      <c r="AC213" s="203"/>
      <c r="AD213" s="203"/>
      <c r="AE213" s="203"/>
      <c r="AF213" s="203"/>
      <c r="AG213" s="203"/>
      <c r="AH213" s="203"/>
      <c r="AI213" s="203"/>
      <c r="AJ213" s="203"/>
      <c r="AK213" s="203"/>
      <c r="AL213" s="203"/>
      <c r="AM213" s="203"/>
      <c r="AN213" s="203"/>
    </row>
    <row r="214" spans="1:40">
      <c r="A214" s="3"/>
      <c r="B214" s="3"/>
      <c r="C214" s="3"/>
      <c r="D214" s="3"/>
      <c r="E214" s="3"/>
      <c r="F214" s="3"/>
      <c r="G214" s="3"/>
      <c r="H214" s="3"/>
      <c r="I214" s="3"/>
      <c r="J214" s="2"/>
      <c r="K214" s="2"/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  <c r="Z214" s="203"/>
      <c r="AA214" s="203"/>
      <c r="AB214" s="203"/>
      <c r="AC214" s="203"/>
      <c r="AD214" s="203"/>
      <c r="AE214" s="203"/>
      <c r="AF214" s="203"/>
      <c r="AG214" s="203"/>
      <c r="AH214" s="203"/>
      <c r="AI214" s="203"/>
      <c r="AJ214" s="203"/>
      <c r="AK214" s="203"/>
      <c r="AL214" s="203"/>
      <c r="AM214" s="203"/>
      <c r="AN214" s="203"/>
    </row>
    <row r="215" spans="1:40">
      <c r="A215" s="9" t="s">
        <v>258</v>
      </c>
      <c r="B215" s="2"/>
      <c r="C215" s="2" t="s">
        <v>359</v>
      </c>
      <c r="D215" s="2"/>
      <c r="E215" s="2"/>
      <c r="F215" s="2"/>
      <c r="G215" s="2"/>
      <c r="H215" s="2"/>
      <c r="I215" s="2"/>
      <c r="J215" s="2"/>
      <c r="K215" s="2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  <c r="AH215" s="203"/>
      <c r="AI215" s="203"/>
      <c r="AJ215" s="203"/>
      <c r="AK215" s="203"/>
      <c r="AL215" s="203"/>
      <c r="AM215" s="203"/>
      <c r="AN215" s="203"/>
    </row>
    <row r="216" spans="1:40">
      <c r="A216" s="9"/>
      <c r="B216" s="2"/>
      <c r="C216" s="2" t="s">
        <v>84</v>
      </c>
      <c r="D216" s="2"/>
      <c r="E216" s="2"/>
      <c r="F216" s="2"/>
      <c r="G216" s="2"/>
      <c r="H216" s="2"/>
      <c r="I216" s="2"/>
      <c r="J216" s="2"/>
      <c r="K216" s="2"/>
      <c r="L216" s="203"/>
      <c r="M216" s="203"/>
      <c r="N216" s="203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  <c r="Z216" s="203"/>
      <c r="AA216" s="203"/>
      <c r="AB216" s="203"/>
      <c r="AC216" s="203"/>
      <c r="AD216" s="203"/>
      <c r="AE216" s="203"/>
      <c r="AF216" s="203"/>
      <c r="AG216" s="203"/>
      <c r="AH216" s="203"/>
      <c r="AI216" s="203"/>
      <c r="AJ216" s="203"/>
      <c r="AK216" s="203"/>
      <c r="AL216" s="203"/>
      <c r="AM216" s="203"/>
      <c r="AN216" s="203"/>
    </row>
    <row r="217" spans="1:40">
      <c r="A217" s="9"/>
      <c r="B217" s="2"/>
      <c r="C217" s="2" t="s">
        <v>112</v>
      </c>
      <c r="D217" s="2"/>
      <c r="E217" s="2"/>
      <c r="F217" s="2"/>
      <c r="G217" s="2"/>
      <c r="H217" s="2"/>
      <c r="I217" s="2"/>
      <c r="J217" s="2"/>
      <c r="K217" s="2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203"/>
      <c r="AJ217" s="203"/>
      <c r="AK217" s="203"/>
      <c r="AL217" s="203"/>
      <c r="AM217" s="203"/>
      <c r="AN217" s="203"/>
    </row>
    <row r="218" spans="1:40">
      <c r="A218" s="9" t="s">
        <v>259</v>
      </c>
      <c r="B218" s="2"/>
      <c r="C218" s="2" t="s">
        <v>265</v>
      </c>
      <c r="D218" s="2"/>
      <c r="E218" s="2"/>
      <c r="F218" s="2"/>
      <c r="G218" s="2"/>
      <c r="H218" s="2"/>
      <c r="I218" s="2"/>
      <c r="J218" s="2"/>
      <c r="K218" s="2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  <c r="Z218" s="203"/>
      <c r="AA218" s="203"/>
      <c r="AB218" s="203"/>
      <c r="AC218" s="203"/>
      <c r="AD218" s="203"/>
      <c r="AE218" s="203"/>
      <c r="AF218" s="203"/>
      <c r="AG218" s="203"/>
      <c r="AH218" s="203"/>
      <c r="AI218" s="203"/>
      <c r="AJ218" s="203"/>
      <c r="AK218" s="203"/>
      <c r="AL218" s="203"/>
      <c r="AM218" s="203"/>
      <c r="AN218" s="203"/>
    </row>
    <row r="219" spans="1:40">
      <c r="A219" s="9" t="s">
        <v>260</v>
      </c>
      <c r="B219" s="2"/>
      <c r="C219" s="2" t="s">
        <v>76</v>
      </c>
      <c r="D219" s="2"/>
      <c r="E219" s="2"/>
      <c r="F219" s="2"/>
      <c r="G219" s="2"/>
      <c r="H219" s="2"/>
      <c r="I219" s="2"/>
      <c r="J219" s="2"/>
      <c r="K219" s="2"/>
      <c r="L219" s="203"/>
      <c r="M219" s="203"/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  <c r="Z219" s="203"/>
      <c r="AA219" s="203"/>
      <c r="AB219" s="203"/>
      <c r="AC219" s="203"/>
      <c r="AD219" s="203"/>
      <c r="AE219" s="203"/>
      <c r="AF219" s="203"/>
      <c r="AG219" s="203"/>
      <c r="AH219" s="203"/>
      <c r="AI219" s="203"/>
      <c r="AJ219" s="203"/>
      <c r="AK219" s="203"/>
      <c r="AL219" s="203"/>
      <c r="AM219" s="203"/>
      <c r="AN219" s="203"/>
    </row>
    <row r="220" spans="1:40">
      <c r="A220" s="9" t="s">
        <v>261</v>
      </c>
      <c r="B220" s="2"/>
      <c r="C220" s="2" t="s">
        <v>85</v>
      </c>
      <c r="D220" s="2"/>
      <c r="E220" s="2"/>
      <c r="F220" s="2"/>
      <c r="G220" s="2"/>
      <c r="H220" s="2"/>
      <c r="I220" s="2"/>
      <c r="J220" s="2"/>
      <c r="K220" s="2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  <c r="Z220" s="203"/>
      <c r="AA220" s="203"/>
      <c r="AB220" s="203"/>
      <c r="AC220" s="203"/>
      <c r="AD220" s="203"/>
      <c r="AE220" s="203"/>
      <c r="AF220" s="203"/>
      <c r="AG220" s="203"/>
      <c r="AH220" s="203"/>
      <c r="AI220" s="203"/>
      <c r="AJ220" s="203"/>
      <c r="AK220" s="203"/>
      <c r="AL220" s="203"/>
      <c r="AM220" s="203"/>
      <c r="AN220" s="203"/>
    </row>
    <row r="221" spans="1:40">
      <c r="A221" s="9" t="s">
        <v>262</v>
      </c>
      <c r="B221" s="2"/>
      <c r="C221" s="2" t="s">
        <v>396</v>
      </c>
      <c r="D221" s="2"/>
      <c r="E221" s="2"/>
      <c r="F221" s="2"/>
      <c r="G221" s="2"/>
      <c r="H221" s="2"/>
      <c r="I221" s="2"/>
      <c r="J221" s="266"/>
      <c r="K221" s="2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  <c r="Z221" s="203"/>
      <c r="AA221" s="203"/>
      <c r="AB221" s="203"/>
      <c r="AC221" s="203"/>
      <c r="AD221" s="203"/>
      <c r="AE221" s="203"/>
      <c r="AF221" s="203"/>
      <c r="AG221" s="203"/>
      <c r="AH221" s="203"/>
      <c r="AI221" s="203"/>
      <c r="AJ221" s="203"/>
      <c r="AK221" s="203"/>
      <c r="AL221" s="203"/>
      <c r="AM221" s="203"/>
      <c r="AN221" s="203"/>
    </row>
    <row r="222" spans="1:40">
      <c r="A222" s="9"/>
      <c r="B222" s="2"/>
      <c r="C222" s="3" t="s">
        <v>136</v>
      </c>
      <c r="D222" s="2"/>
      <c r="E222" s="2"/>
      <c r="F222" s="2"/>
      <c r="G222" s="2"/>
      <c r="H222" s="2"/>
      <c r="I222" s="2"/>
      <c r="J222" s="266"/>
      <c r="K222" s="2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  <c r="AH222" s="203"/>
      <c r="AI222" s="203"/>
      <c r="AJ222" s="203"/>
      <c r="AK222" s="203"/>
      <c r="AL222" s="203"/>
      <c r="AM222" s="203"/>
      <c r="AN222" s="203"/>
    </row>
    <row r="223" spans="1:40">
      <c r="A223" s="9" t="s">
        <v>263</v>
      </c>
      <c r="B223" s="2"/>
      <c r="C223" s="2" t="s">
        <v>268</v>
      </c>
      <c r="D223" s="2"/>
      <c r="E223" s="2"/>
      <c r="F223" s="2"/>
      <c r="G223" s="2"/>
      <c r="H223" s="2"/>
      <c r="I223" s="2"/>
      <c r="J223" s="266"/>
      <c r="K223" s="2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</row>
    <row r="224" spans="1:40">
      <c r="A224" s="9"/>
      <c r="B224" s="2"/>
      <c r="C224" s="2" t="s">
        <v>193</v>
      </c>
      <c r="D224" s="2"/>
      <c r="E224" s="2"/>
      <c r="F224" s="2"/>
      <c r="G224" s="2"/>
      <c r="H224" s="2"/>
      <c r="I224" s="2"/>
      <c r="J224" s="266"/>
      <c r="K224" s="2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  <c r="Z224" s="203"/>
      <c r="AA224" s="203"/>
      <c r="AB224" s="203"/>
      <c r="AC224" s="203"/>
      <c r="AD224" s="203"/>
      <c r="AE224" s="203"/>
      <c r="AF224" s="203"/>
      <c r="AG224" s="203"/>
      <c r="AH224" s="203"/>
      <c r="AI224" s="203"/>
      <c r="AJ224" s="203"/>
      <c r="AK224" s="203"/>
      <c r="AL224" s="203"/>
      <c r="AM224" s="203"/>
      <c r="AN224" s="203"/>
    </row>
    <row r="225" spans="1:40">
      <c r="A225" s="9"/>
      <c r="B225" s="2"/>
      <c r="C225" s="2" t="s">
        <v>291</v>
      </c>
      <c r="D225" s="2"/>
      <c r="E225" s="2"/>
      <c r="F225" s="2"/>
      <c r="G225" s="2"/>
      <c r="H225" s="2"/>
      <c r="I225" s="2"/>
      <c r="J225" s="266"/>
      <c r="K225" s="2"/>
      <c r="L225" s="203"/>
      <c r="M225" s="203"/>
      <c r="N225" s="203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  <c r="Z225" s="203"/>
      <c r="AA225" s="203"/>
      <c r="AB225" s="203"/>
      <c r="AC225" s="203"/>
      <c r="AD225" s="203"/>
      <c r="AE225" s="203"/>
      <c r="AF225" s="203"/>
      <c r="AG225" s="203"/>
      <c r="AH225" s="203"/>
      <c r="AI225" s="203"/>
      <c r="AJ225" s="203"/>
      <c r="AK225" s="203"/>
      <c r="AL225" s="203"/>
      <c r="AM225" s="203"/>
      <c r="AN225" s="203"/>
    </row>
    <row r="226" spans="1:40">
      <c r="A226" s="9" t="s">
        <v>264</v>
      </c>
      <c r="B226" s="2"/>
      <c r="C226" s="2" t="s">
        <v>275</v>
      </c>
      <c r="D226" s="2"/>
      <c r="E226" s="2"/>
      <c r="F226" s="2"/>
      <c r="G226" s="2"/>
      <c r="H226" s="2"/>
      <c r="I226" s="266"/>
      <c r="J226" s="266"/>
      <c r="K226" s="2"/>
      <c r="L226" s="203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  <c r="Z226" s="203"/>
      <c r="AA226" s="203"/>
      <c r="AB226" s="203"/>
      <c r="AC226" s="203"/>
      <c r="AD226" s="203"/>
      <c r="AE226" s="203"/>
      <c r="AF226" s="203"/>
      <c r="AG226" s="203"/>
      <c r="AH226" s="203"/>
      <c r="AI226" s="203"/>
      <c r="AJ226" s="203"/>
      <c r="AK226" s="203"/>
      <c r="AL226" s="203"/>
      <c r="AM226" s="203"/>
      <c r="AN226" s="203"/>
    </row>
    <row r="227" spans="1:40">
      <c r="A227" s="9"/>
      <c r="B227" s="2"/>
      <c r="C227" s="2" t="s">
        <v>277</v>
      </c>
      <c r="D227" s="2"/>
      <c r="E227" s="2"/>
      <c r="F227" s="2"/>
      <c r="G227" s="2"/>
      <c r="H227" s="2"/>
      <c r="I227" s="2"/>
      <c r="J227" s="2"/>
      <c r="K227" s="2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  <c r="AH227" s="203"/>
      <c r="AI227" s="203"/>
      <c r="AJ227" s="203"/>
      <c r="AK227" s="203"/>
      <c r="AL227" s="203"/>
      <c r="AM227" s="203"/>
      <c r="AN227" s="203"/>
    </row>
    <row r="228" spans="1:40">
      <c r="A228" s="9"/>
      <c r="B228" s="2"/>
      <c r="C228" s="2" t="s">
        <v>278</v>
      </c>
      <c r="D228" s="2"/>
      <c r="E228" s="2"/>
      <c r="F228" s="2"/>
      <c r="G228" s="2"/>
      <c r="H228" s="2"/>
      <c r="I228" s="2"/>
      <c r="J228" s="267"/>
      <c r="K228" s="2"/>
      <c r="L228" s="203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  <c r="Z228" s="203"/>
      <c r="AA228" s="203"/>
      <c r="AB228" s="203"/>
      <c r="AC228" s="203"/>
      <c r="AD228" s="203"/>
      <c r="AE228" s="203"/>
      <c r="AF228" s="203"/>
      <c r="AG228" s="203"/>
      <c r="AH228" s="203"/>
      <c r="AI228" s="203"/>
      <c r="AJ228" s="203"/>
      <c r="AK228" s="203"/>
      <c r="AL228" s="203"/>
      <c r="AM228" s="203"/>
      <c r="AN228" s="203"/>
    </row>
    <row r="229" spans="1:40">
      <c r="A229" s="9"/>
      <c r="B229" s="2"/>
      <c r="C229" s="2" t="s">
        <v>279</v>
      </c>
      <c r="D229" s="2"/>
      <c r="E229" s="2"/>
      <c r="F229" s="2"/>
      <c r="G229" s="2"/>
      <c r="H229" s="2"/>
      <c r="I229" s="2"/>
      <c r="J229" s="2"/>
      <c r="K229" s="2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  <c r="Z229" s="203"/>
      <c r="AA229" s="203"/>
      <c r="AB229" s="203"/>
      <c r="AC229" s="203"/>
      <c r="AD229" s="203"/>
      <c r="AE229" s="203"/>
      <c r="AF229" s="203"/>
      <c r="AG229" s="203"/>
      <c r="AH229" s="203"/>
      <c r="AI229" s="203"/>
      <c r="AJ229" s="203"/>
      <c r="AK229" s="203"/>
      <c r="AL229" s="203"/>
      <c r="AM229" s="203"/>
      <c r="AN229" s="203"/>
    </row>
    <row r="230" spans="1:40">
      <c r="A230" s="9"/>
      <c r="B230" s="2"/>
      <c r="C230" s="2" t="s">
        <v>280</v>
      </c>
      <c r="D230" s="2"/>
      <c r="E230" s="2"/>
      <c r="F230" s="2"/>
      <c r="G230" s="2"/>
      <c r="H230" s="2"/>
      <c r="I230" s="2"/>
      <c r="J230" s="2"/>
      <c r="K230" s="2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  <c r="Z230" s="203"/>
      <c r="AA230" s="203"/>
      <c r="AB230" s="203"/>
      <c r="AC230" s="203"/>
      <c r="AD230" s="203"/>
      <c r="AE230" s="203"/>
      <c r="AF230" s="203"/>
      <c r="AG230" s="203"/>
      <c r="AH230" s="203"/>
      <c r="AI230" s="203"/>
      <c r="AJ230" s="203"/>
      <c r="AK230" s="203"/>
      <c r="AL230" s="203"/>
      <c r="AM230" s="203"/>
      <c r="AN230" s="203"/>
    </row>
    <row r="231" spans="1:40">
      <c r="A231" s="9"/>
      <c r="B231" s="2"/>
      <c r="C231" s="2" t="s">
        <v>113</v>
      </c>
      <c r="D231" s="2"/>
      <c r="E231" s="2"/>
      <c r="F231" s="2"/>
      <c r="G231" s="2"/>
      <c r="H231" s="2"/>
      <c r="I231" s="2"/>
      <c r="J231" s="2"/>
      <c r="K231" s="2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  <c r="Z231" s="203"/>
      <c r="AA231" s="203"/>
      <c r="AB231" s="203"/>
      <c r="AC231" s="203"/>
      <c r="AD231" s="203"/>
      <c r="AE231" s="203"/>
      <c r="AF231" s="203"/>
      <c r="AG231" s="203"/>
      <c r="AH231" s="203"/>
      <c r="AI231" s="203"/>
      <c r="AJ231" s="203"/>
      <c r="AK231" s="203"/>
      <c r="AL231" s="203"/>
      <c r="AM231" s="203"/>
      <c r="AN231" s="203"/>
    </row>
    <row r="232" spans="1:40">
      <c r="A232" s="9" t="s">
        <v>194</v>
      </c>
      <c r="B232" s="2"/>
      <c r="C232" s="2" t="s">
        <v>288</v>
      </c>
      <c r="D232" s="2" t="s">
        <v>281</v>
      </c>
      <c r="E232" s="268">
        <v>0.21</v>
      </c>
      <c r="F232" s="2"/>
      <c r="G232" s="2"/>
      <c r="H232" s="2"/>
      <c r="I232" s="2"/>
      <c r="J232" s="2"/>
      <c r="K232" s="2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203"/>
      <c r="AJ232" s="203"/>
      <c r="AK232" s="203"/>
      <c r="AL232" s="203"/>
      <c r="AM232" s="203"/>
      <c r="AN232" s="203"/>
    </row>
    <row r="233" spans="1:40">
      <c r="A233" s="9"/>
      <c r="B233" s="2"/>
      <c r="C233" s="2"/>
      <c r="D233" s="2" t="s">
        <v>282</v>
      </c>
      <c r="E233" s="268">
        <v>0</v>
      </c>
      <c r="F233" s="2" t="s">
        <v>283</v>
      </c>
      <c r="G233" s="2"/>
      <c r="H233" s="2"/>
      <c r="I233" s="2"/>
      <c r="J233" s="2"/>
      <c r="K233" s="2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3"/>
      <c r="AK233" s="203"/>
      <c r="AL233" s="203"/>
      <c r="AM233" s="203"/>
      <c r="AN233" s="203"/>
    </row>
    <row r="234" spans="1:40">
      <c r="A234" s="9"/>
      <c r="B234" s="2"/>
      <c r="C234" s="2"/>
      <c r="D234" s="2" t="s">
        <v>284</v>
      </c>
      <c r="E234" s="268">
        <v>0</v>
      </c>
      <c r="F234" s="2" t="s">
        <v>285</v>
      </c>
      <c r="G234" s="2"/>
      <c r="H234" s="2"/>
      <c r="I234" s="2"/>
      <c r="J234" s="2"/>
      <c r="K234" s="2"/>
      <c r="L234" s="203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  <c r="Z234" s="203"/>
      <c r="AA234" s="203"/>
      <c r="AB234" s="203"/>
      <c r="AC234" s="203"/>
      <c r="AD234" s="203"/>
      <c r="AE234" s="203"/>
      <c r="AF234" s="203"/>
      <c r="AG234" s="203"/>
      <c r="AH234" s="203"/>
      <c r="AI234" s="203"/>
      <c r="AJ234" s="203"/>
      <c r="AK234" s="203"/>
      <c r="AL234" s="203"/>
      <c r="AM234" s="203"/>
      <c r="AN234" s="203"/>
    </row>
    <row r="235" spans="1:40">
      <c r="A235" s="269" t="s">
        <v>266</v>
      </c>
      <c r="B235" s="3"/>
      <c r="C235" s="3" t="s">
        <v>72</v>
      </c>
      <c r="D235" s="3"/>
      <c r="E235" s="3"/>
      <c r="F235" s="3"/>
      <c r="G235" s="3"/>
      <c r="H235" s="3"/>
      <c r="I235" s="3"/>
      <c r="J235" s="3"/>
      <c r="K235" s="3"/>
    </row>
    <row r="236" spans="1:40">
      <c r="C236" s="96" t="s">
        <v>71</v>
      </c>
    </row>
    <row r="237" spans="1:40">
      <c r="A237" s="270" t="s">
        <v>267</v>
      </c>
      <c r="C237" s="96" t="s">
        <v>43</v>
      </c>
    </row>
  </sheetData>
  <mergeCells count="13">
    <mergeCell ref="A4:K4"/>
    <mergeCell ref="A5:K5"/>
    <mergeCell ref="A7:K7"/>
    <mergeCell ref="A66:K66"/>
    <mergeCell ref="A67:K67"/>
    <mergeCell ref="A69:K69"/>
    <mergeCell ref="A203:K203"/>
    <mergeCell ref="A204:K204"/>
    <mergeCell ref="A206:K206"/>
    <mergeCell ref="A130:K130"/>
    <mergeCell ref="A125:K125"/>
    <mergeCell ref="A126:K126"/>
    <mergeCell ref="A128:K128"/>
  </mergeCells>
  <phoneticPr fontId="21" type="noConversion"/>
  <printOptions horizontalCentered="1"/>
  <pageMargins left="0.5" right="0.5" top="0.75" bottom="0.75" header="0.5" footer="0.5"/>
  <pageSetup scale="53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2" max="12" man="1"/>
    <brk id="121" max="10" man="1"/>
    <brk id="199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3:P77"/>
  <sheetViews>
    <sheetView topLeftCell="A61" zoomScaleNormal="100" zoomScalePageLayoutView="81" workbookViewId="0">
      <selection activeCell="N54" sqref="N54"/>
    </sheetView>
  </sheetViews>
  <sheetFormatPr defaultRowHeight="12.75"/>
  <cols>
    <col min="1" max="1" width="3.88671875" style="32" customWidth="1"/>
    <col min="2" max="2" width="2.5546875" style="32" customWidth="1"/>
    <col min="3" max="3" width="3" style="32" customWidth="1"/>
    <col min="4" max="4" width="2.44140625" style="32" customWidth="1"/>
    <col min="5" max="6" width="8.88671875" style="32"/>
    <col min="7" max="7" width="1.88671875" style="32" customWidth="1"/>
    <col min="8" max="11" width="8.88671875" style="32"/>
    <col min="12" max="12" width="15" style="32" customWidth="1"/>
    <col min="13" max="13" width="11.88671875" style="32" customWidth="1"/>
    <col min="14" max="14" width="10.33203125" style="32" customWidth="1"/>
    <col min="15" max="15" width="9.88671875" style="32" bestFit="1" customWidth="1"/>
    <col min="16" max="16384" width="8.88671875" style="32"/>
  </cols>
  <sheetData>
    <row r="3" spans="1:16" ht="15.75">
      <c r="B3" s="48"/>
      <c r="C3" s="48"/>
      <c r="D3" s="48"/>
      <c r="E3" s="48"/>
      <c r="F3" s="48"/>
      <c r="G3" s="48"/>
      <c r="H3" s="48"/>
      <c r="I3" s="48"/>
      <c r="J3" s="48"/>
      <c r="K3" s="48"/>
      <c r="L3" s="82"/>
      <c r="M3" s="82"/>
      <c r="N3" s="82" t="s">
        <v>417</v>
      </c>
      <c r="O3" s="191">
        <f>+'True-Up'!J1</f>
        <v>44712</v>
      </c>
      <c r="P3" s="48"/>
    </row>
    <row r="4" spans="1:16">
      <c r="L4" s="82"/>
      <c r="M4" s="82"/>
      <c r="N4" s="82" t="s">
        <v>166</v>
      </c>
      <c r="O4" s="192">
        <f>+'True-Up'!J2</f>
        <v>2021</v>
      </c>
    </row>
    <row r="5" spans="1:16" ht="15.75">
      <c r="A5" s="322" t="s">
        <v>431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</row>
    <row r="6" spans="1:16">
      <c r="A6" s="154" t="s">
        <v>196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>
      <c r="A7" s="155" t="s">
        <v>197</v>
      </c>
    </row>
    <row r="8" spans="1:16">
      <c r="A8" s="56">
        <v>1</v>
      </c>
      <c r="B8" s="63" t="s">
        <v>389</v>
      </c>
    </row>
    <row r="9" spans="1:16">
      <c r="A9" s="56">
        <f>A8+1</f>
        <v>2</v>
      </c>
    </row>
    <row r="10" spans="1:16">
      <c r="A10" s="56">
        <f t="shared" ref="A10:A74" si="0">A9+1</f>
        <v>3</v>
      </c>
      <c r="B10" s="32" t="s">
        <v>145</v>
      </c>
      <c r="D10" s="63" t="s">
        <v>390</v>
      </c>
    </row>
    <row r="11" spans="1:16">
      <c r="A11" s="56">
        <f t="shared" si="0"/>
        <v>4</v>
      </c>
      <c r="E11" s="32" t="s">
        <v>149</v>
      </c>
    </row>
    <row r="12" spans="1:16">
      <c r="A12" s="56">
        <f t="shared" si="0"/>
        <v>5</v>
      </c>
      <c r="E12" s="32" t="s">
        <v>146</v>
      </c>
    </row>
    <row r="13" spans="1:16">
      <c r="A13" s="56">
        <f t="shared" si="0"/>
        <v>6</v>
      </c>
      <c r="E13" s="32" t="s">
        <v>147</v>
      </c>
    </row>
    <row r="14" spans="1:16">
      <c r="A14" s="56">
        <f t="shared" si="0"/>
        <v>7</v>
      </c>
    </row>
    <row r="15" spans="1:16">
      <c r="A15" s="56">
        <f t="shared" si="0"/>
        <v>8</v>
      </c>
      <c r="B15" s="32" t="s">
        <v>148</v>
      </c>
      <c r="D15" s="32" t="s">
        <v>150</v>
      </c>
    </row>
    <row r="16" spans="1:16">
      <c r="A16" s="56">
        <f t="shared" si="0"/>
        <v>9</v>
      </c>
      <c r="E16" s="32" t="s">
        <v>151</v>
      </c>
    </row>
    <row r="17" spans="1:8">
      <c r="A17" s="56">
        <f t="shared" si="0"/>
        <v>10</v>
      </c>
    </row>
    <row r="18" spans="1:8">
      <c r="A18" s="56">
        <f t="shared" si="0"/>
        <v>11</v>
      </c>
      <c r="B18" s="32" t="s">
        <v>152</v>
      </c>
      <c r="D18" s="32" t="s">
        <v>153</v>
      </c>
    </row>
    <row r="19" spans="1:8">
      <c r="A19" s="56">
        <f t="shared" si="0"/>
        <v>12</v>
      </c>
    </row>
    <row r="20" spans="1:8">
      <c r="A20" s="56">
        <f t="shared" si="0"/>
        <v>13</v>
      </c>
      <c r="D20" s="32" t="s">
        <v>21</v>
      </c>
    </row>
    <row r="21" spans="1:8">
      <c r="A21" s="56">
        <f t="shared" si="0"/>
        <v>14</v>
      </c>
    </row>
    <row r="22" spans="1:8">
      <c r="A22" s="56">
        <f t="shared" si="0"/>
        <v>15</v>
      </c>
      <c r="D22" s="32" t="s">
        <v>154</v>
      </c>
      <c r="F22" s="57" t="s">
        <v>155</v>
      </c>
      <c r="G22" s="32" t="s">
        <v>19</v>
      </c>
    </row>
    <row r="23" spans="1:8">
      <c r="A23" s="56">
        <f t="shared" si="0"/>
        <v>16</v>
      </c>
      <c r="H23" s="32" t="s">
        <v>115</v>
      </c>
    </row>
    <row r="24" spans="1:8">
      <c r="A24" s="56">
        <f t="shared" si="0"/>
        <v>17</v>
      </c>
      <c r="H24" s="32" t="s">
        <v>20</v>
      </c>
    </row>
    <row r="25" spans="1:8">
      <c r="A25" s="56">
        <f t="shared" si="0"/>
        <v>18</v>
      </c>
    </row>
    <row r="26" spans="1:8">
      <c r="A26" s="56">
        <f t="shared" si="0"/>
        <v>19</v>
      </c>
      <c r="B26" s="58" t="s">
        <v>424</v>
      </c>
    </row>
    <row r="27" spans="1:8">
      <c r="A27" s="56">
        <f t="shared" si="0"/>
        <v>20</v>
      </c>
    </row>
    <row r="28" spans="1:8">
      <c r="A28" s="56">
        <f t="shared" si="0"/>
        <v>21</v>
      </c>
      <c r="E28" s="28" t="s">
        <v>187</v>
      </c>
      <c r="F28" s="28" t="s">
        <v>188</v>
      </c>
      <c r="G28" s="59" t="s">
        <v>189</v>
      </c>
    </row>
    <row r="29" spans="1:8">
      <c r="A29" s="56">
        <f t="shared" si="0"/>
        <v>22</v>
      </c>
      <c r="B29" s="60" t="s">
        <v>50</v>
      </c>
      <c r="E29" s="28"/>
      <c r="F29" s="28"/>
      <c r="G29" s="61"/>
    </row>
    <row r="30" spans="1:8">
      <c r="A30" s="56">
        <f t="shared" si="0"/>
        <v>23</v>
      </c>
      <c r="C30" s="32" t="s">
        <v>53</v>
      </c>
      <c r="E30" s="28" t="s">
        <v>191</v>
      </c>
      <c r="F30" s="83">
        <v>2010</v>
      </c>
      <c r="G30" s="64" t="s">
        <v>425</v>
      </c>
      <c r="H30" s="63"/>
    </row>
    <row r="31" spans="1:8">
      <c r="A31" s="56">
        <f t="shared" si="0"/>
        <v>24</v>
      </c>
      <c r="C31" s="32" t="s">
        <v>54</v>
      </c>
      <c r="E31" s="28" t="s">
        <v>191</v>
      </c>
      <c r="F31" s="83">
        <v>2010</v>
      </c>
      <c r="G31" s="64" t="s">
        <v>426</v>
      </c>
      <c r="H31" s="63"/>
    </row>
    <row r="32" spans="1:8">
      <c r="A32" s="56">
        <f t="shared" si="0"/>
        <v>25</v>
      </c>
      <c r="C32" s="32" t="s">
        <v>55</v>
      </c>
      <c r="E32" s="28" t="str">
        <f>+E30</f>
        <v>May</v>
      </c>
      <c r="F32" s="83">
        <v>2010</v>
      </c>
      <c r="G32" s="64" t="s">
        <v>427</v>
      </c>
      <c r="H32" s="63"/>
    </row>
    <row r="33" spans="1:8">
      <c r="A33" s="56">
        <f t="shared" si="0"/>
        <v>26</v>
      </c>
      <c r="C33" s="32" t="s">
        <v>56</v>
      </c>
      <c r="E33" s="28" t="s">
        <v>51</v>
      </c>
      <c r="F33" s="83">
        <v>2010</v>
      </c>
      <c r="G33" s="64" t="s">
        <v>52</v>
      </c>
      <c r="H33" s="63"/>
    </row>
    <row r="34" spans="1:8">
      <c r="A34" s="56">
        <f t="shared" si="0"/>
        <v>27</v>
      </c>
      <c r="E34" s="28"/>
      <c r="F34" s="28"/>
      <c r="G34" s="59"/>
    </row>
    <row r="35" spans="1:8">
      <c r="A35" s="56">
        <f t="shared" si="0"/>
        <v>28</v>
      </c>
      <c r="B35" s="60" t="s">
        <v>58</v>
      </c>
      <c r="E35" s="62"/>
      <c r="F35" s="28"/>
      <c r="G35" s="59"/>
    </row>
    <row r="36" spans="1:8">
      <c r="A36" s="56">
        <f t="shared" si="0"/>
        <v>29</v>
      </c>
      <c r="C36" s="32" t="s">
        <v>57</v>
      </c>
      <c r="E36" s="28" t="s">
        <v>182</v>
      </c>
      <c r="F36" s="83">
        <v>2010</v>
      </c>
      <c r="G36" s="64" t="s">
        <v>428</v>
      </c>
      <c r="H36" s="63"/>
    </row>
    <row r="37" spans="1:8">
      <c r="A37" s="56">
        <f t="shared" si="0"/>
        <v>30</v>
      </c>
      <c r="C37" s="32" t="s">
        <v>59</v>
      </c>
      <c r="E37" s="28" t="s">
        <v>182</v>
      </c>
      <c r="F37" s="83">
        <v>2010</v>
      </c>
      <c r="G37" s="64" t="s">
        <v>429</v>
      </c>
      <c r="H37" s="63"/>
    </row>
    <row r="38" spans="1:8">
      <c r="A38" s="56">
        <f t="shared" si="0"/>
        <v>31</v>
      </c>
      <c r="C38" s="32" t="s">
        <v>60</v>
      </c>
      <c r="E38" s="28" t="s">
        <v>182</v>
      </c>
      <c r="F38" s="83">
        <v>2010</v>
      </c>
      <c r="G38" s="64" t="s">
        <v>44</v>
      </c>
      <c r="H38" s="63"/>
    </row>
    <row r="39" spans="1:8">
      <c r="A39" s="56">
        <f t="shared" si="0"/>
        <v>32</v>
      </c>
      <c r="C39" s="32" t="s">
        <v>61</v>
      </c>
      <c r="E39" s="28" t="s">
        <v>182</v>
      </c>
      <c r="F39" s="83">
        <v>2010</v>
      </c>
      <c r="G39" s="64" t="s">
        <v>63</v>
      </c>
      <c r="H39" s="63"/>
    </row>
    <row r="40" spans="1:8">
      <c r="A40" s="56">
        <f t="shared" si="0"/>
        <v>33</v>
      </c>
      <c r="C40" s="32" t="s">
        <v>62</v>
      </c>
      <c r="E40" s="28" t="s">
        <v>157</v>
      </c>
      <c r="F40" s="83">
        <v>2010</v>
      </c>
      <c r="G40" s="64" t="s">
        <v>24</v>
      </c>
      <c r="H40" s="63"/>
    </row>
    <row r="41" spans="1:8">
      <c r="A41" s="56">
        <f t="shared" si="0"/>
        <v>34</v>
      </c>
      <c r="C41" s="32" t="s">
        <v>23</v>
      </c>
      <c r="E41" s="62" t="s">
        <v>159</v>
      </c>
      <c r="F41" s="83">
        <v>2011</v>
      </c>
      <c r="G41" s="64" t="s">
        <v>64</v>
      </c>
      <c r="H41" s="63"/>
    </row>
    <row r="42" spans="1:8">
      <c r="A42" s="56">
        <f t="shared" si="0"/>
        <v>35</v>
      </c>
    </row>
    <row r="43" spans="1:8">
      <c r="A43" s="56">
        <f t="shared" si="0"/>
        <v>36</v>
      </c>
      <c r="E43" s="32" t="s">
        <v>160</v>
      </c>
      <c r="F43" s="32" t="s">
        <v>161</v>
      </c>
    </row>
    <row r="44" spans="1:8">
      <c r="A44" s="56">
        <f t="shared" si="0"/>
        <v>37</v>
      </c>
      <c r="F44" s="32" t="s">
        <v>162</v>
      </c>
    </row>
    <row r="45" spans="1:8">
      <c r="A45" s="56">
        <f t="shared" si="0"/>
        <v>38</v>
      </c>
      <c r="F45" s="32" t="s">
        <v>163</v>
      </c>
    </row>
    <row r="46" spans="1:8">
      <c r="A46" s="56">
        <f t="shared" si="0"/>
        <v>39</v>
      </c>
      <c r="F46" s="32" t="s">
        <v>116</v>
      </c>
    </row>
    <row r="47" spans="1:8">
      <c r="A47" s="56">
        <f t="shared" si="0"/>
        <v>40</v>
      </c>
      <c r="F47" s="32" t="s">
        <v>174</v>
      </c>
    </row>
    <row r="48" spans="1:8">
      <c r="A48" s="56">
        <f t="shared" si="0"/>
        <v>41</v>
      </c>
      <c r="F48" s="32" t="s">
        <v>175</v>
      </c>
    </row>
    <row r="49" spans="1:15">
      <c r="A49" s="56">
        <f t="shared" si="0"/>
        <v>42</v>
      </c>
    </row>
    <row r="50" spans="1:15">
      <c r="A50" s="56">
        <f t="shared" si="0"/>
        <v>43</v>
      </c>
      <c r="F50" s="63" t="s">
        <v>388</v>
      </c>
    </row>
    <row r="51" spans="1:15">
      <c r="A51" s="56">
        <f t="shared" si="0"/>
        <v>44</v>
      </c>
      <c r="D51" s="60"/>
      <c r="E51" s="60"/>
      <c r="F51" s="60"/>
      <c r="G51" s="60"/>
      <c r="H51" s="60"/>
      <c r="I51" s="60"/>
      <c r="J51" s="60"/>
      <c r="K51" s="60"/>
      <c r="L51" s="60"/>
      <c r="M51" s="60" t="s">
        <v>207</v>
      </c>
      <c r="N51" s="60" t="s">
        <v>296</v>
      </c>
      <c r="O51" s="63"/>
    </row>
    <row r="52" spans="1:15">
      <c r="A52" s="56">
        <f t="shared" si="0"/>
        <v>45</v>
      </c>
      <c r="C52" s="32" t="s">
        <v>258</v>
      </c>
      <c r="D52" s="60" t="str">
        <f>"True-Up Amount (Transmission see pg 3 line "&amp;'True-Up'!A119&amp;" and Schedule 1 see pg 10 line "&amp;'BHP Sch. 1'!A22&amp;")"</f>
        <v>True-Up Amount (Transmission see pg 3 line 92 and Schedule 1 see pg 10 line 12)</v>
      </c>
      <c r="E52" s="60"/>
      <c r="F52" s="60"/>
      <c r="G52" s="60"/>
      <c r="H52" s="60"/>
      <c r="I52" s="60"/>
      <c r="J52" s="60"/>
      <c r="K52" s="60"/>
      <c r="L52" s="60"/>
      <c r="M52" s="71">
        <f>+'True-Up'!J119</f>
        <v>293735.89521542564</v>
      </c>
      <c r="N52" s="71">
        <f>+'BHP Sch. 1'!D22</f>
        <v>-59891.040000000037</v>
      </c>
      <c r="O52" s="193"/>
    </row>
    <row r="53" spans="1:15">
      <c r="A53" s="56">
        <f t="shared" si="0"/>
        <v>46</v>
      </c>
      <c r="C53" s="32" t="s">
        <v>259</v>
      </c>
      <c r="D53" s="60" t="s">
        <v>45</v>
      </c>
      <c r="E53" s="60"/>
      <c r="F53" s="60"/>
      <c r="G53" s="60"/>
      <c r="H53" s="60"/>
      <c r="I53" s="60"/>
      <c r="J53" s="60"/>
      <c r="K53" s="194"/>
      <c r="L53" s="60"/>
      <c r="M53" s="195">
        <f>ROUND((1+$K$77)^18,2)</f>
        <v>1.05</v>
      </c>
      <c r="N53" s="195">
        <f>ROUND((1+$K$77)^18,2)</f>
        <v>1.05</v>
      </c>
      <c r="O53" s="193"/>
    </row>
    <row r="54" spans="1:15">
      <c r="A54" s="56">
        <f t="shared" si="0"/>
        <v>47</v>
      </c>
      <c r="C54" s="32" t="s">
        <v>260</v>
      </c>
      <c r="D54" s="60" t="s">
        <v>430</v>
      </c>
      <c r="E54" s="60"/>
      <c r="F54" s="60"/>
      <c r="G54" s="60"/>
      <c r="H54" s="60"/>
      <c r="I54" s="60"/>
      <c r="J54" s="60"/>
      <c r="K54" s="194"/>
      <c r="L54" s="60"/>
      <c r="M54" s="196">
        <f>+M52*M53</f>
        <v>308422.68997619691</v>
      </c>
      <c r="N54" s="196">
        <f>+N52*N53</f>
        <v>-62885.592000000041</v>
      </c>
      <c r="O54" s="193"/>
    </row>
    <row r="55" spans="1:15">
      <c r="A55" s="56">
        <f t="shared" si="0"/>
        <v>48</v>
      </c>
      <c r="K55" s="197"/>
      <c r="O55" s="197"/>
    </row>
    <row r="56" spans="1:15">
      <c r="A56" s="56">
        <f t="shared" si="0"/>
        <v>49</v>
      </c>
      <c r="E56" s="32" t="s">
        <v>154</v>
      </c>
      <c r="F56" s="32" t="s">
        <v>176</v>
      </c>
      <c r="K56" s="197"/>
      <c r="M56" s="63"/>
      <c r="O56" s="197"/>
    </row>
    <row r="57" spans="1:15">
      <c r="A57" s="56">
        <f t="shared" si="0"/>
        <v>50</v>
      </c>
      <c r="K57" s="197"/>
      <c r="N57" s="197"/>
      <c r="O57" s="197"/>
    </row>
    <row r="58" spans="1:15">
      <c r="A58" s="56">
        <f t="shared" si="0"/>
        <v>51</v>
      </c>
      <c r="D58" s="197" t="s">
        <v>177</v>
      </c>
      <c r="E58" s="197"/>
      <c r="F58" s="197"/>
      <c r="G58" s="197"/>
      <c r="H58" s="197"/>
      <c r="I58" s="197"/>
      <c r="J58" s="197"/>
      <c r="K58" s="197"/>
    </row>
    <row r="59" spans="1:15">
      <c r="A59" s="56">
        <f t="shared" si="0"/>
        <v>52</v>
      </c>
      <c r="D59" s="197"/>
      <c r="E59" s="197"/>
      <c r="F59" s="197"/>
      <c r="G59" s="197"/>
      <c r="H59" s="197"/>
      <c r="I59" s="197"/>
      <c r="J59" s="197"/>
      <c r="K59" s="35" t="s">
        <v>11</v>
      </c>
    </row>
    <row r="60" spans="1:15">
      <c r="A60" s="56">
        <f t="shared" si="0"/>
        <v>53</v>
      </c>
      <c r="D60" s="197"/>
      <c r="E60" s="198" t="s">
        <v>187</v>
      </c>
      <c r="F60" s="35"/>
      <c r="G60" s="35"/>
      <c r="H60" s="198" t="s">
        <v>188</v>
      </c>
      <c r="I60" s="199"/>
      <c r="J60" s="197"/>
      <c r="K60" s="198" t="s">
        <v>178</v>
      </c>
    </row>
    <row r="61" spans="1:15">
      <c r="A61" s="56">
        <f t="shared" si="0"/>
        <v>54</v>
      </c>
      <c r="E61" s="32" t="s">
        <v>159</v>
      </c>
      <c r="H61" s="32" t="s">
        <v>185</v>
      </c>
      <c r="K61" s="292">
        <v>2.8E-3</v>
      </c>
    </row>
    <row r="62" spans="1:15">
      <c r="A62" s="56">
        <f t="shared" si="0"/>
        <v>55</v>
      </c>
      <c r="E62" s="32" t="s">
        <v>179</v>
      </c>
      <c r="H62" s="32" t="s">
        <v>185</v>
      </c>
      <c r="K62" s="292">
        <v>2.5000000000000001E-3</v>
      </c>
    </row>
    <row r="63" spans="1:15">
      <c r="A63" s="56">
        <f t="shared" si="0"/>
        <v>56</v>
      </c>
      <c r="E63" s="32" t="s">
        <v>180</v>
      </c>
      <c r="H63" s="32" t="s">
        <v>185</v>
      </c>
      <c r="K63" s="292">
        <v>2.8E-3</v>
      </c>
    </row>
    <row r="64" spans="1:15">
      <c r="A64" s="56">
        <f t="shared" si="0"/>
        <v>57</v>
      </c>
      <c r="E64" s="32" t="s">
        <v>190</v>
      </c>
      <c r="H64" s="32" t="s">
        <v>185</v>
      </c>
      <c r="K64" s="292">
        <v>2.7000000000000001E-3</v>
      </c>
    </row>
    <row r="65" spans="1:11">
      <c r="A65" s="56">
        <f t="shared" si="0"/>
        <v>58</v>
      </c>
      <c r="E65" s="32" t="s">
        <v>191</v>
      </c>
      <c r="H65" s="32" t="s">
        <v>185</v>
      </c>
      <c r="K65" s="292">
        <v>2.8E-3</v>
      </c>
    </row>
    <row r="66" spans="1:11">
      <c r="A66" s="56">
        <f t="shared" si="0"/>
        <v>59</v>
      </c>
      <c r="E66" s="32" t="s">
        <v>192</v>
      </c>
      <c r="H66" s="32" t="s">
        <v>185</v>
      </c>
      <c r="K66" s="292">
        <v>2.7000000000000001E-3</v>
      </c>
    </row>
    <row r="67" spans="1:11">
      <c r="A67" s="56">
        <f t="shared" si="0"/>
        <v>60</v>
      </c>
      <c r="E67" s="32" t="s">
        <v>181</v>
      </c>
      <c r="H67" s="32" t="s">
        <v>185</v>
      </c>
      <c r="K67" s="292">
        <v>2.8E-3</v>
      </c>
    </row>
    <row r="68" spans="1:11">
      <c r="A68" s="56">
        <f t="shared" si="0"/>
        <v>61</v>
      </c>
      <c r="E68" s="32" t="s">
        <v>156</v>
      </c>
      <c r="H68" s="32" t="s">
        <v>185</v>
      </c>
      <c r="K68" s="292">
        <v>2.8E-3</v>
      </c>
    </row>
    <row r="69" spans="1:11">
      <c r="A69" s="56">
        <f t="shared" si="0"/>
        <v>62</v>
      </c>
      <c r="E69" s="32" t="s">
        <v>182</v>
      </c>
      <c r="H69" s="32" t="s">
        <v>185</v>
      </c>
      <c r="K69" s="292">
        <v>2.7000000000000001E-3</v>
      </c>
    </row>
    <row r="70" spans="1:11">
      <c r="A70" s="56">
        <f t="shared" si="0"/>
        <v>63</v>
      </c>
      <c r="E70" s="32" t="s">
        <v>157</v>
      </c>
      <c r="H70" s="32" t="s">
        <v>185</v>
      </c>
      <c r="K70" s="292">
        <v>2.8E-3</v>
      </c>
    </row>
    <row r="71" spans="1:11">
      <c r="A71" s="56">
        <f t="shared" si="0"/>
        <v>64</v>
      </c>
      <c r="E71" s="32" t="s">
        <v>158</v>
      </c>
      <c r="H71" s="32" t="s">
        <v>185</v>
      </c>
      <c r="K71" s="292">
        <v>2.7000000000000001E-3</v>
      </c>
    </row>
    <row r="72" spans="1:11">
      <c r="A72" s="56">
        <f t="shared" si="0"/>
        <v>65</v>
      </c>
      <c r="E72" s="32" t="s">
        <v>183</v>
      </c>
      <c r="H72" s="32" t="s">
        <v>185</v>
      </c>
      <c r="K72" s="292">
        <v>2.8E-3</v>
      </c>
    </row>
    <row r="73" spans="1:11">
      <c r="A73" s="56">
        <f t="shared" si="0"/>
        <v>66</v>
      </c>
      <c r="E73" s="32" t="s">
        <v>159</v>
      </c>
      <c r="H73" s="32" t="s">
        <v>186</v>
      </c>
      <c r="K73" s="292">
        <v>2.8E-3</v>
      </c>
    </row>
    <row r="74" spans="1:11">
      <c r="A74" s="56">
        <f t="shared" si="0"/>
        <v>67</v>
      </c>
      <c r="E74" s="32" t="s">
        <v>179</v>
      </c>
      <c r="H74" s="32" t="s">
        <v>186</v>
      </c>
      <c r="K74" s="292">
        <v>2.5000000000000001E-3</v>
      </c>
    </row>
    <row r="75" spans="1:11">
      <c r="A75" s="56">
        <f>A74+1</f>
        <v>68</v>
      </c>
      <c r="E75" s="32" t="s">
        <v>180</v>
      </c>
      <c r="H75" s="32" t="s">
        <v>186</v>
      </c>
      <c r="K75" s="292">
        <v>2.8E-3</v>
      </c>
    </row>
    <row r="76" spans="1:11">
      <c r="A76" s="56">
        <f>A75+1</f>
        <v>69</v>
      </c>
      <c r="E76" s="32" t="s">
        <v>190</v>
      </c>
      <c r="H76" s="32" t="s">
        <v>186</v>
      </c>
      <c r="K76" s="292">
        <v>2.7000000000000001E-3</v>
      </c>
    </row>
    <row r="77" spans="1:11">
      <c r="A77" s="56">
        <f>A76+1</f>
        <v>70</v>
      </c>
      <c r="F77" s="32" t="s">
        <v>184</v>
      </c>
      <c r="K77" s="200">
        <f>ROUND(AVERAGE(K61:K76),6)</f>
        <v>2.7309999999999999E-3</v>
      </c>
    </row>
  </sheetData>
  <mergeCells count="1">
    <mergeCell ref="A5:O5"/>
  </mergeCells>
  <phoneticPr fontId="21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H34"/>
  <sheetViews>
    <sheetView topLeftCell="A19" zoomScaleNormal="100" workbookViewId="0">
      <selection activeCell="H22" sqref="H22"/>
    </sheetView>
  </sheetViews>
  <sheetFormatPr defaultColWidth="7.109375" defaultRowHeight="12.75"/>
  <cols>
    <col min="1" max="1" width="10.109375" style="5" customWidth="1"/>
    <col min="2" max="2" width="3.5546875" style="5" customWidth="1"/>
    <col min="3" max="4" width="1.88671875" style="5" customWidth="1"/>
    <col min="5" max="5" width="4" style="5" customWidth="1"/>
    <col min="6" max="6" width="24.109375" style="5" customWidth="1"/>
    <col min="7" max="7" width="1.88671875" style="5" customWidth="1"/>
    <col min="8" max="8" width="8.109375" style="182" customWidth="1"/>
    <col min="9" max="9" width="8.109375" style="5" customWidth="1"/>
    <col min="10" max="16384" width="7.109375" style="5"/>
  </cols>
  <sheetData>
    <row r="3" spans="1:8">
      <c r="F3" s="34"/>
    </row>
    <row r="4" spans="1:8">
      <c r="A4" s="323" t="s">
        <v>432</v>
      </c>
      <c r="B4" s="323"/>
      <c r="C4" s="323"/>
      <c r="D4" s="323"/>
      <c r="E4" s="323"/>
      <c r="F4" s="323"/>
      <c r="G4" s="323"/>
      <c r="H4" s="323"/>
    </row>
    <row r="5" spans="1:8">
      <c r="B5" s="183" t="s">
        <v>196</v>
      </c>
      <c r="H5" s="184" t="s">
        <v>416</v>
      </c>
    </row>
    <row r="6" spans="1:8">
      <c r="B6" s="185" t="s">
        <v>197</v>
      </c>
      <c r="D6" s="186" t="s">
        <v>342</v>
      </c>
      <c r="E6" s="186"/>
      <c r="F6" s="186"/>
      <c r="H6" s="187" t="s">
        <v>172</v>
      </c>
    </row>
    <row r="7" spans="1:8">
      <c r="B7" s="81">
        <v>1</v>
      </c>
    </row>
    <row r="8" spans="1:8">
      <c r="B8" s="81">
        <v>2</v>
      </c>
      <c r="D8" s="188" t="s">
        <v>111</v>
      </c>
      <c r="E8" s="188"/>
    </row>
    <row r="9" spans="1:8">
      <c r="B9" s="81">
        <v>3</v>
      </c>
    </row>
    <row r="10" spans="1:8">
      <c r="B10" s="81">
        <v>4</v>
      </c>
      <c r="E10" s="5">
        <v>350</v>
      </c>
      <c r="F10" s="43" t="s">
        <v>343</v>
      </c>
      <c r="H10" s="85">
        <v>0</v>
      </c>
    </row>
    <row r="11" spans="1:8">
      <c r="B11" s="81">
        <v>5</v>
      </c>
      <c r="E11" s="5">
        <v>352</v>
      </c>
      <c r="F11" s="43" t="s">
        <v>344</v>
      </c>
      <c r="H11" s="85">
        <v>2.3900000000000001E-2</v>
      </c>
    </row>
    <row r="12" spans="1:8">
      <c r="B12" s="81">
        <v>6</v>
      </c>
      <c r="E12" s="5">
        <v>353</v>
      </c>
      <c r="F12" s="43" t="s">
        <v>345</v>
      </c>
      <c r="H12" s="85">
        <v>2.6599999999999999E-2</v>
      </c>
    </row>
    <row r="13" spans="1:8">
      <c r="B13" s="81">
        <v>7</v>
      </c>
      <c r="E13" s="5">
        <v>354</v>
      </c>
      <c r="F13" s="43" t="s">
        <v>346</v>
      </c>
      <c r="H13" s="85">
        <v>2.0400000000000001E-2</v>
      </c>
    </row>
    <row r="14" spans="1:8">
      <c r="B14" s="81">
        <v>8</v>
      </c>
      <c r="E14" s="5">
        <v>355</v>
      </c>
      <c r="F14" s="43" t="s">
        <v>347</v>
      </c>
      <c r="H14" s="85">
        <v>2.2200000000000001E-2</v>
      </c>
    </row>
    <row r="15" spans="1:8">
      <c r="B15" s="81">
        <v>9</v>
      </c>
      <c r="E15" s="5">
        <v>356</v>
      </c>
      <c r="F15" s="43" t="s">
        <v>348</v>
      </c>
      <c r="H15" s="85">
        <v>2.0400000000000001E-2</v>
      </c>
    </row>
    <row r="16" spans="1:8">
      <c r="B16" s="81">
        <v>10</v>
      </c>
      <c r="E16" s="5">
        <v>359</v>
      </c>
      <c r="F16" s="43" t="s">
        <v>349</v>
      </c>
      <c r="H16" s="85">
        <v>1.95E-2</v>
      </c>
    </row>
    <row r="17" spans="2:8">
      <c r="B17" s="81">
        <v>11</v>
      </c>
      <c r="F17" s="43" t="s">
        <v>4</v>
      </c>
      <c r="H17" s="85">
        <v>2.3199999999999998E-2</v>
      </c>
    </row>
    <row r="18" spans="2:8">
      <c r="B18" s="81">
        <v>12</v>
      </c>
      <c r="H18" s="85"/>
    </row>
    <row r="19" spans="2:8">
      <c r="B19" s="81">
        <v>13</v>
      </c>
      <c r="D19" s="188" t="s">
        <v>100</v>
      </c>
      <c r="H19" s="85"/>
    </row>
    <row r="20" spans="2:8">
      <c r="B20" s="81">
        <v>14</v>
      </c>
      <c r="H20" s="85"/>
    </row>
    <row r="21" spans="2:8">
      <c r="B21" s="81">
        <v>15</v>
      </c>
      <c r="E21" s="5">
        <v>389</v>
      </c>
      <c r="F21" s="189" t="s">
        <v>343</v>
      </c>
      <c r="H21" s="85">
        <v>0</v>
      </c>
    </row>
    <row r="22" spans="2:8">
      <c r="B22" s="81">
        <v>16</v>
      </c>
      <c r="E22" s="5">
        <v>390</v>
      </c>
      <c r="F22" s="43" t="s">
        <v>344</v>
      </c>
      <c r="H22" s="85">
        <v>4.7300000000000002E-2</v>
      </c>
    </row>
    <row r="23" spans="2:8">
      <c r="B23" s="81">
        <v>17</v>
      </c>
      <c r="E23" s="5">
        <v>391</v>
      </c>
      <c r="F23" s="43" t="s">
        <v>350</v>
      </c>
      <c r="H23" s="85">
        <v>0.1056</v>
      </c>
    </row>
    <row r="24" spans="2:8">
      <c r="B24" s="81">
        <v>18</v>
      </c>
      <c r="E24" s="5">
        <v>392</v>
      </c>
      <c r="F24" s="43" t="s">
        <v>351</v>
      </c>
      <c r="H24" s="85">
        <v>9.06E-2</v>
      </c>
    </row>
    <row r="25" spans="2:8">
      <c r="B25" s="81">
        <v>19</v>
      </c>
      <c r="E25" s="5">
        <v>393</v>
      </c>
      <c r="F25" s="43" t="s">
        <v>352</v>
      </c>
      <c r="H25" s="85">
        <v>4.2299999999999997E-2</v>
      </c>
    </row>
    <row r="26" spans="2:8">
      <c r="B26" s="81">
        <v>20</v>
      </c>
      <c r="E26" s="5">
        <v>394</v>
      </c>
      <c r="F26" s="43" t="s">
        <v>13</v>
      </c>
      <c r="H26" s="85">
        <v>4.2299999999999997E-2</v>
      </c>
    </row>
    <row r="27" spans="2:8">
      <c r="B27" s="81">
        <v>21</v>
      </c>
      <c r="E27" s="5">
        <v>395</v>
      </c>
      <c r="F27" s="43" t="s">
        <v>353</v>
      </c>
      <c r="H27" s="85">
        <v>3.0599999999999999E-2</v>
      </c>
    </row>
    <row r="28" spans="2:8">
      <c r="B28" s="81">
        <v>22</v>
      </c>
      <c r="E28" s="5">
        <v>396</v>
      </c>
      <c r="F28" s="43" t="s">
        <v>354</v>
      </c>
      <c r="H28" s="85">
        <v>4.2299999999999997E-2</v>
      </c>
    </row>
    <row r="29" spans="2:8">
      <c r="B29" s="81">
        <v>23</v>
      </c>
      <c r="E29" s="5">
        <v>397</v>
      </c>
      <c r="F29" s="43" t="s">
        <v>355</v>
      </c>
      <c r="H29" s="85">
        <v>4.3900000000000002E-2</v>
      </c>
    </row>
    <row r="30" spans="2:8">
      <c r="B30" s="81">
        <v>24</v>
      </c>
      <c r="E30" s="5">
        <v>398</v>
      </c>
      <c r="F30" s="43" t="s">
        <v>356</v>
      </c>
      <c r="H30" s="85">
        <v>5.8099999999999999E-2</v>
      </c>
    </row>
    <row r="31" spans="2:8">
      <c r="B31" s="81">
        <v>25</v>
      </c>
      <c r="F31" s="43" t="s">
        <v>12</v>
      </c>
      <c r="H31" s="85">
        <v>6.5299999999999997E-2</v>
      </c>
    </row>
    <row r="32" spans="2:8">
      <c r="B32" s="81">
        <v>26</v>
      </c>
    </row>
    <row r="33" spans="2:6">
      <c r="B33" s="81">
        <v>27</v>
      </c>
      <c r="D33" s="43" t="s">
        <v>415</v>
      </c>
      <c r="E33" s="190"/>
      <c r="F33" s="43"/>
    </row>
    <row r="34" spans="2:6">
      <c r="F34" s="43"/>
    </row>
  </sheetData>
  <mergeCells count="1">
    <mergeCell ref="A4:H4"/>
  </mergeCells>
  <phoneticPr fontId="21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AQ172"/>
  <sheetViews>
    <sheetView zoomScale="70" zoomScaleNormal="70" zoomScaleSheetLayoutView="85" workbookViewId="0">
      <selection activeCell="G28" sqref="G28"/>
    </sheetView>
  </sheetViews>
  <sheetFormatPr defaultRowHeight="15"/>
  <cols>
    <col min="1" max="1" width="6" style="76" customWidth="1"/>
    <col min="2" max="2" width="1.44140625" style="76" customWidth="1"/>
    <col min="3" max="3" width="36" style="76" customWidth="1"/>
    <col min="4" max="4" width="24.44140625" style="76" customWidth="1"/>
    <col min="5" max="5" width="16.109375" style="76" customWidth="1"/>
    <col min="6" max="11" width="15.88671875" style="76" customWidth="1"/>
    <col min="12" max="12" width="17.6640625" style="76" bestFit="1" customWidth="1"/>
    <col min="13" max="13" width="16.109375" style="76" bestFit="1" customWidth="1"/>
    <col min="14" max="15" width="15.88671875" style="76" customWidth="1"/>
    <col min="16" max="16" width="19.6640625" style="76" bestFit="1" customWidth="1"/>
    <col min="17" max="17" width="14.88671875" style="76" bestFit="1" customWidth="1"/>
    <col min="18" max="18" width="17.88671875" style="76" customWidth="1"/>
    <col min="19" max="19" width="15.44140625" style="76" customWidth="1"/>
    <col min="20" max="20" width="14.88671875" style="76" bestFit="1" customWidth="1"/>
    <col min="21" max="21" width="14.109375" style="76" bestFit="1" customWidth="1"/>
    <col min="22" max="16384" width="8.88671875" style="76"/>
  </cols>
  <sheetData>
    <row r="2" spans="1:43" ht="15.75">
      <c r="A2" s="3"/>
      <c r="B2" s="3"/>
      <c r="C2" s="3"/>
      <c r="D2" s="48"/>
      <c r="E2" s="3"/>
      <c r="F2" s="3"/>
      <c r="G2" s="3"/>
      <c r="H2" s="3"/>
      <c r="I2" s="169" t="str">
        <f>'CU AC Rate Design - True-Up'!H1</f>
        <v>Date: May 31, 2022</v>
      </c>
      <c r="J2" s="3"/>
      <c r="K2" s="3"/>
      <c r="L2" s="3"/>
      <c r="O2" s="75"/>
      <c r="R2" s="170" t="str">
        <f>I2</f>
        <v>Date: May 31, 2022</v>
      </c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</row>
    <row r="3" spans="1:4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75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</row>
    <row r="4" spans="1:43" ht="15" customHeight="1">
      <c r="A4" s="318" t="s">
        <v>321</v>
      </c>
      <c r="B4" s="318"/>
      <c r="C4" s="318"/>
      <c r="D4" s="318"/>
      <c r="E4" s="318"/>
      <c r="F4" s="318"/>
      <c r="G4" s="318"/>
      <c r="H4" s="318"/>
      <c r="I4" s="318"/>
      <c r="J4" s="318" t="s">
        <v>321</v>
      </c>
      <c r="K4" s="318"/>
      <c r="L4" s="318"/>
      <c r="M4" s="318"/>
      <c r="N4" s="318"/>
      <c r="O4" s="318"/>
      <c r="P4" s="318"/>
      <c r="Q4" s="318"/>
      <c r="R4" s="318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</row>
    <row r="5" spans="1:43" ht="15.75">
      <c r="A5" s="319" t="s">
        <v>195</v>
      </c>
      <c r="B5" s="319"/>
      <c r="C5" s="319"/>
      <c r="D5" s="319"/>
      <c r="E5" s="319"/>
      <c r="F5" s="319"/>
      <c r="G5" s="319"/>
      <c r="H5" s="319"/>
      <c r="I5" s="319"/>
      <c r="J5" s="319" t="s">
        <v>195</v>
      </c>
      <c r="K5" s="319"/>
      <c r="L5" s="319"/>
      <c r="M5" s="319"/>
      <c r="N5" s="319"/>
      <c r="O5" s="319"/>
      <c r="P5" s="319"/>
      <c r="Q5" s="319"/>
      <c r="R5" s="319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</row>
    <row r="6" spans="1:43">
      <c r="A6" s="3"/>
      <c r="B6" s="3"/>
      <c r="C6" s="75"/>
      <c r="D6" s="75"/>
      <c r="F6" s="75"/>
      <c r="G6" s="75"/>
      <c r="H6" s="75"/>
      <c r="I6" s="75"/>
      <c r="J6" s="3"/>
      <c r="K6" s="3"/>
      <c r="L6" s="75"/>
      <c r="M6" s="75"/>
      <c r="O6" s="75"/>
      <c r="P6" s="75"/>
      <c r="Q6" s="75"/>
      <c r="R6" s="75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</row>
    <row r="7" spans="1:43" ht="15" customHeight="1">
      <c r="A7" s="320" t="s">
        <v>320</v>
      </c>
      <c r="B7" s="320"/>
      <c r="C7" s="320"/>
      <c r="D7" s="320"/>
      <c r="E7" s="320"/>
      <c r="F7" s="320"/>
      <c r="G7" s="320"/>
      <c r="H7" s="320"/>
      <c r="I7" s="320"/>
      <c r="J7" s="320" t="s">
        <v>320</v>
      </c>
      <c r="K7" s="320"/>
      <c r="L7" s="320"/>
      <c r="M7" s="320"/>
      <c r="N7" s="320"/>
      <c r="O7" s="320"/>
      <c r="P7" s="320"/>
      <c r="Q7" s="320"/>
      <c r="R7" s="320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</row>
    <row r="8" spans="1:43">
      <c r="A8" s="9"/>
      <c r="B8" s="3"/>
      <c r="C8" s="75"/>
      <c r="D8" s="75"/>
      <c r="E8" s="173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</row>
    <row r="9" spans="1:43">
      <c r="A9" s="3"/>
      <c r="B9" s="3"/>
      <c r="C9" s="174"/>
      <c r="D9" s="174"/>
      <c r="E9" s="174"/>
      <c r="F9" s="1"/>
      <c r="G9" s="1"/>
      <c r="H9" s="1"/>
      <c r="I9" s="1"/>
      <c r="J9" s="1"/>
      <c r="K9" s="1"/>
      <c r="L9" s="17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</row>
    <row r="10" spans="1:43" ht="15.75">
      <c r="A10" s="3"/>
      <c r="B10" s="3"/>
      <c r="C10" s="97"/>
      <c r="D10" s="172" t="s">
        <v>206</v>
      </c>
      <c r="E10" s="1"/>
      <c r="F10" s="1"/>
      <c r="G10" s="1"/>
      <c r="H10" s="1"/>
      <c r="I10" s="1"/>
      <c r="J10" s="1"/>
      <c r="K10" s="1"/>
      <c r="L10" s="17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</row>
    <row r="11" spans="1:43" ht="15.75">
      <c r="A11" s="9" t="s">
        <v>196</v>
      </c>
      <c r="B11" s="3"/>
      <c r="C11" s="97"/>
      <c r="D11" s="175" t="s">
        <v>208</v>
      </c>
      <c r="E11" s="171" t="s">
        <v>209</v>
      </c>
      <c r="F11" s="176"/>
      <c r="G11" s="176"/>
      <c r="H11" s="176"/>
      <c r="I11" s="176"/>
      <c r="J11" s="176"/>
      <c r="K11" s="176"/>
      <c r="L11" s="174"/>
      <c r="O11" s="93"/>
      <c r="P11" s="93"/>
      <c r="Q11" s="177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</row>
    <row r="12" spans="1:43" ht="16.5" thickBot="1">
      <c r="A12" s="178" t="s">
        <v>197</v>
      </c>
      <c r="B12" s="3"/>
      <c r="C12" s="179" t="s">
        <v>211</v>
      </c>
      <c r="D12" s="1"/>
      <c r="E12" s="180" t="s">
        <v>26</v>
      </c>
      <c r="F12" s="180" t="s">
        <v>27</v>
      </c>
      <c r="G12" s="180" t="s">
        <v>28</v>
      </c>
      <c r="H12" s="180" t="s">
        <v>29</v>
      </c>
      <c r="I12" s="180" t="s">
        <v>30</v>
      </c>
      <c r="J12" s="180" t="s">
        <v>31</v>
      </c>
      <c r="K12" s="180" t="s">
        <v>32</v>
      </c>
      <c r="L12" s="180" t="s">
        <v>33</v>
      </c>
      <c r="M12" s="180" t="s">
        <v>145</v>
      </c>
      <c r="N12" s="180" t="s">
        <v>34</v>
      </c>
      <c r="O12" s="180" t="s">
        <v>35</v>
      </c>
      <c r="P12" s="180" t="s">
        <v>36</v>
      </c>
      <c r="Q12" s="180" t="s">
        <v>37</v>
      </c>
      <c r="R12" s="180" t="s">
        <v>38</v>
      </c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</row>
    <row r="13" spans="1:43">
      <c r="A13" s="9"/>
      <c r="B13" s="3"/>
      <c r="C13" s="97"/>
      <c r="D13" s="1"/>
      <c r="E13" s="74">
        <v>44166</v>
      </c>
      <c r="F13" s="74">
        <v>44197</v>
      </c>
      <c r="G13" s="74">
        <v>44228</v>
      </c>
      <c r="H13" s="74">
        <v>44256</v>
      </c>
      <c r="I13" s="74">
        <v>44287</v>
      </c>
      <c r="J13" s="74">
        <v>44317</v>
      </c>
      <c r="K13" s="74">
        <v>44348</v>
      </c>
      <c r="L13" s="74">
        <v>44378</v>
      </c>
      <c r="M13" s="74">
        <v>44409</v>
      </c>
      <c r="N13" s="74">
        <v>44440</v>
      </c>
      <c r="O13" s="74">
        <v>44470</v>
      </c>
      <c r="P13" s="74">
        <v>44501</v>
      </c>
      <c r="Q13" s="74">
        <v>44531</v>
      </c>
      <c r="R13" s="19" t="s">
        <v>25</v>
      </c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</row>
    <row r="14" spans="1:43">
      <c r="A14" s="9"/>
      <c r="B14" s="3"/>
      <c r="C14" s="97" t="s">
        <v>41</v>
      </c>
      <c r="D14" s="1" t="s">
        <v>411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</row>
    <row r="15" spans="1:43">
      <c r="A15" s="9">
        <v>1</v>
      </c>
      <c r="B15" s="3"/>
      <c r="C15" s="97" t="s">
        <v>213</v>
      </c>
      <c r="D15" s="1" t="s">
        <v>73</v>
      </c>
      <c r="E15" s="19">
        <f t="shared" ref="E15:N20" si="0">E69-E90+E111+E133+E154</f>
        <v>663360947</v>
      </c>
      <c r="F15" s="19">
        <f t="shared" si="0"/>
        <v>667187368.68999994</v>
      </c>
      <c r="G15" s="19">
        <f t="shared" si="0"/>
        <v>667780619.74999988</v>
      </c>
      <c r="H15" s="19">
        <f t="shared" si="0"/>
        <v>663836119.50999999</v>
      </c>
      <c r="I15" s="19">
        <f t="shared" si="0"/>
        <v>666199617.81999981</v>
      </c>
      <c r="J15" s="19">
        <f t="shared" si="0"/>
        <v>666545026.88</v>
      </c>
      <c r="K15" s="19">
        <f t="shared" si="0"/>
        <v>661129091.66999996</v>
      </c>
      <c r="L15" s="19">
        <f t="shared" si="0"/>
        <v>669388590.11000013</v>
      </c>
      <c r="M15" s="19">
        <f t="shared" si="0"/>
        <v>678356815.65000021</v>
      </c>
      <c r="N15" s="19">
        <f t="shared" si="0"/>
        <v>665954249.40999997</v>
      </c>
      <c r="O15" s="19">
        <f t="shared" ref="O15:Q20" si="1">O69-O90+O111+O133+O154</f>
        <v>678938320.78999996</v>
      </c>
      <c r="P15" s="19">
        <f t="shared" si="1"/>
        <v>679927412.15000021</v>
      </c>
      <c r="Q15" s="19">
        <f t="shared" si="1"/>
        <v>685363401.37</v>
      </c>
      <c r="R15" s="19">
        <f t="shared" ref="R15:R21" si="2">AVERAGE(E15:Q15)</f>
        <v>670305198.52307701</v>
      </c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</row>
    <row r="16" spans="1:43">
      <c r="A16" s="9">
        <f t="shared" ref="A16:A65" si="3">+A15+1</f>
        <v>2</v>
      </c>
      <c r="B16" s="3"/>
      <c r="C16" s="97" t="s">
        <v>215</v>
      </c>
      <c r="D16" s="1" t="s">
        <v>120</v>
      </c>
      <c r="E16" s="19">
        <f t="shared" si="0"/>
        <v>241146841.08999994</v>
      </c>
      <c r="F16" s="19">
        <f t="shared" si="0"/>
        <v>242345926.87999997</v>
      </c>
      <c r="G16" s="19">
        <f t="shared" si="0"/>
        <v>241895006.59999999</v>
      </c>
      <c r="H16" s="19">
        <f t="shared" si="0"/>
        <v>241417596.26999998</v>
      </c>
      <c r="I16" s="19">
        <f t="shared" si="0"/>
        <v>244534297.96000001</v>
      </c>
      <c r="J16" s="19">
        <f t="shared" si="0"/>
        <v>251270240.08999994</v>
      </c>
      <c r="K16" s="19">
        <f t="shared" si="0"/>
        <v>250778534.09999996</v>
      </c>
      <c r="L16" s="19">
        <f t="shared" si="0"/>
        <v>250822548.66999999</v>
      </c>
      <c r="M16" s="19">
        <f t="shared" si="0"/>
        <v>251203046.85999998</v>
      </c>
      <c r="N16" s="19">
        <f t="shared" si="0"/>
        <v>250732574.53999999</v>
      </c>
      <c r="O16" s="19">
        <f t="shared" si="1"/>
        <v>251077620.72999999</v>
      </c>
      <c r="P16" s="19">
        <f t="shared" si="1"/>
        <v>250876319.92000002</v>
      </c>
      <c r="Q16" s="19">
        <f t="shared" si="1"/>
        <v>254872602.56999999</v>
      </c>
      <c r="R16" s="19">
        <f t="shared" si="2"/>
        <v>247921012.02153847</v>
      </c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</row>
    <row r="17" spans="1:43">
      <c r="A17" s="9">
        <f t="shared" si="3"/>
        <v>3</v>
      </c>
      <c r="B17" s="3"/>
      <c r="C17" s="97" t="s">
        <v>216</v>
      </c>
      <c r="D17" s="1" t="s">
        <v>121</v>
      </c>
      <c r="E17" s="19">
        <f t="shared" si="0"/>
        <v>473031181.02000004</v>
      </c>
      <c r="F17" s="19">
        <f t="shared" si="0"/>
        <v>478289489.88000005</v>
      </c>
      <c r="G17" s="19">
        <f t="shared" si="0"/>
        <v>481250309.71999997</v>
      </c>
      <c r="H17" s="19">
        <f t="shared" si="0"/>
        <v>476574189.19</v>
      </c>
      <c r="I17" s="19">
        <f t="shared" si="0"/>
        <v>476781362.70999992</v>
      </c>
      <c r="J17" s="19">
        <f t="shared" si="0"/>
        <v>477530099.96000004</v>
      </c>
      <c r="K17" s="19">
        <f t="shared" si="0"/>
        <v>472555962.11000007</v>
      </c>
      <c r="L17" s="19">
        <f t="shared" si="0"/>
        <v>481690545.76000005</v>
      </c>
      <c r="M17" s="19">
        <f t="shared" si="0"/>
        <v>484033775.84999996</v>
      </c>
      <c r="N17" s="19">
        <f t="shared" si="0"/>
        <v>483281919.66000003</v>
      </c>
      <c r="O17" s="19">
        <f t="shared" si="1"/>
        <v>489142805.96000016</v>
      </c>
      <c r="P17" s="19">
        <f t="shared" si="1"/>
        <v>489929946.55000007</v>
      </c>
      <c r="Q17" s="19">
        <f t="shared" si="1"/>
        <v>487693449.51000005</v>
      </c>
      <c r="R17" s="19">
        <f t="shared" si="2"/>
        <v>480906541.37538469</v>
      </c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</row>
    <row r="18" spans="1:43">
      <c r="A18" s="9">
        <f t="shared" si="3"/>
        <v>4</v>
      </c>
      <c r="B18" s="3"/>
      <c r="C18" s="97" t="s">
        <v>217</v>
      </c>
      <c r="D18" s="1" t="s">
        <v>459</v>
      </c>
      <c r="E18" s="19">
        <f t="shared" si="0"/>
        <v>60489131.50999999</v>
      </c>
      <c r="F18" s="19">
        <f t="shared" si="0"/>
        <v>61170319.49999997</v>
      </c>
      <c r="G18" s="19">
        <f t="shared" si="0"/>
        <v>61343157.079999954</v>
      </c>
      <c r="H18" s="19">
        <f t="shared" si="0"/>
        <v>62065672.609999985</v>
      </c>
      <c r="I18" s="19">
        <f t="shared" si="0"/>
        <v>62321312.779999956</v>
      </c>
      <c r="J18" s="19">
        <f t="shared" si="0"/>
        <v>61893660.949999973</v>
      </c>
      <c r="K18" s="19">
        <f t="shared" si="0"/>
        <v>62126068.849999979</v>
      </c>
      <c r="L18" s="19">
        <f t="shared" si="0"/>
        <v>62002138.739999995</v>
      </c>
      <c r="M18" s="19">
        <f t="shared" si="0"/>
        <v>62058297.36999999</v>
      </c>
      <c r="N18" s="19">
        <f t="shared" si="0"/>
        <v>60792660.999999985</v>
      </c>
      <c r="O18" s="19">
        <f t="shared" si="1"/>
        <v>62235227.62999998</v>
      </c>
      <c r="P18" s="19">
        <f t="shared" si="1"/>
        <v>61753640.809999987</v>
      </c>
      <c r="Q18" s="19">
        <f t="shared" si="1"/>
        <v>61453596.25</v>
      </c>
      <c r="R18" s="19">
        <f t="shared" si="2"/>
        <v>61669606.544615358</v>
      </c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</row>
    <row r="19" spans="1:43">
      <c r="A19" s="9">
        <f t="shared" si="3"/>
        <v>5</v>
      </c>
      <c r="B19" s="3"/>
      <c r="C19" s="97" t="s">
        <v>137</v>
      </c>
      <c r="D19" s="1" t="s">
        <v>442</v>
      </c>
      <c r="E19" s="19">
        <f t="shared" si="0"/>
        <v>26026522</v>
      </c>
      <c r="F19" s="19">
        <f t="shared" si="0"/>
        <v>26072004</v>
      </c>
      <c r="G19" s="19">
        <f t="shared" si="0"/>
        <v>26061063</v>
      </c>
      <c r="H19" s="19">
        <f t="shared" si="0"/>
        <v>26147598</v>
      </c>
      <c r="I19" s="19">
        <f t="shared" si="0"/>
        <v>26236762</v>
      </c>
      <c r="J19" s="19">
        <f t="shared" si="0"/>
        <v>26325390</v>
      </c>
      <c r="K19" s="19">
        <f t="shared" si="0"/>
        <v>26179960</v>
      </c>
      <c r="L19" s="19">
        <f t="shared" si="0"/>
        <v>26240786</v>
      </c>
      <c r="M19" s="19">
        <f t="shared" si="0"/>
        <v>27104882</v>
      </c>
      <c r="N19" s="19">
        <f t="shared" si="0"/>
        <v>27680482</v>
      </c>
      <c r="O19" s="19">
        <f t="shared" si="1"/>
        <v>27672790</v>
      </c>
      <c r="P19" s="19">
        <f t="shared" si="1"/>
        <v>28095926</v>
      </c>
      <c r="Q19" s="19">
        <f t="shared" si="1"/>
        <v>28423892.336431999</v>
      </c>
      <c r="R19" s="19">
        <f>AVERAGE(E19:Q19)</f>
        <v>26789850.564340923</v>
      </c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</row>
    <row r="20" spans="1:43">
      <c r="A20" s="9">
        <f t="shared" si="3"/>
        <v>6</v>
      </c>
      <c r="B20" s="3"/>
      <c r="C20" s="97" t="s">
        <v>102</v>
      </c>
      <c r="D20" s="1" t="s">
        <v>101</v>
      </c>
      <c r="E20" s="19">
        <f t="shared" si="0"/>
        <v>7278054.459999999</v>
      </c>
      <c r="F20" s="19">
        <f t="shared" si="0"/>
        <v>7278065.7999999989</v>
      </c>
      <c r="G20" s="19">
        <f t="shared" si="0"/>
        <v>7278065.7999999989</v>
      </c>
      <c r="H20" s="19">
        <f t="shared" si="0"/>
        <v>7280146.5899999999</v>
      </c>
      <c r="I20" s="19">
        <f t="shared" si="0"/>
        <v>7243998.7400000002</v>
      </c>
      <c r="J20" s="19">
        <f t="shared" si="0"/>
        <v>7244011.5600000005</v>
      </c>
      <c r="K20" s="19">
        <f t="shared" si="0"/>
        <v>7241851.9899999993</v>
      </c>
      <c r="L20" s="19">
        <f t="shared" si="0"/>
        <v>7236390.0899999999</v>
      </c>
      <c r="M20" s="19">
        <f t="shared" si="0"/>
        <v>7236507.1799999997</v>
      </c>
      <c r="N20" s="19">
        <f t="shared" si="0"/>
        <v>6835477.0899999999</v>
      </c>
      <c r="O20" s="19">
        <f t="shared" si="1"/>
        <v>7044722.7100000009</v>
      </c>
      <c r="P20" s="19">
        <f t="shared" si="1"/>
        <v>6859094.9199999999</v>
      </c>
      <c r="Q20" s="19">
        <f t="shared" si="1"/>
        <v>6862228.2400000002</v>
      </c>
      <c r="R20" s="19">
        <f t="shared" si="2"/>
        <v>7147585.7823076909</v>
      </c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</row>
    <row r="21" spans="1:43">
      <c r="A21" s="9">
        <f t="shared" si="3"/>
        <v>7</v>
      </c>
      <c r="B21" s="3"/>
      <c r="C21" s="97" t="s">
        <v>219</v>
      </c>
      <c r="D21" s="1" t="s">
        <v>220</v>
      </c>
      <c r="E21" s="19"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>
        <v>0</v>
      </c>
      <c r="R21" s="19">
        <f t="shared" si="2"/>
        <v>0</v>
      </c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</row>
    <row r="22" spans="1:43">
      <c r="A22" s="9">
        <f t="shared" si="3"/>
        <v>8</v>
      </c>
      <c r="B22" s="3"/>
      <c r="C22" s="96" t="s">
        <v>5</v>
      </c>
      <c r="D22" s="1" t="str">
        <f>"(sum lines "&amp;A15&amp;" - "&amp;A21&amp;")"</f>
        <v>(sum lines 1 - 7)</v>
      </c>
      <c r="E22" s="49">
        <f>SUM(E15:E21)</f>
        <v>1471332677.0799999</v>
      </c>
      <c r="F22" s="49">
        <f>SUM(F15:F21)</f>
        <v>1482343174.75</v>
      </c>
      <c r="G22" s="49">
        <f t="shared" ref="G22:R22" si="4">SUM(G15:G21)</f>
        <v>1485608221.9499998</v>
      </c>
      <c r="H22" s="49">
        <f t="shared" si="4"/>
        <v>1477321322.1699998</v>
      </c>
      <c r="I22" s="49">
        <f t="shared" si="4"/>
        <v>1483317352.0099998</v>
      </c>
      <c r="J22" s="49">
        <f t="shared" si="4"/>
        <v>1490808429.4399998</v>
      </c>
      <c r="K22" s="49">
        <f t="shared" si="4"/>
        <v>1480011468.72</v>
      </c>
      <c r="L22" s="49">
        <f t="shared" si="4"/>
        <v>1497380999.3700001</v>
      </c>
      <c r="M22" s="49">
        <f t="shared" si="4"/>
        <v>1509993324.9100001</v>
      </c>
      <c r="N22" s="49">
        <f t="shared" si="4"/>
        <v>1495277363.6999998</v>
      </c>
      <c r="O22" s="49">
        <f t="shared" si="4"/>
        <v>1516111487.8199999</v>
      </c>
      <c r="P22" s="49">
        <f t="shared" si="4"/>
        <v>1517442340.3500004</v>
      </c>
      <c r="Q22" s="49">
        <f t="shared" si="4"/>
        <v>1524669170.276432</v>
      </c>
      <c r="R22" s="49">
        <f t="shared" si="4"/>
        <v>1494739794.8112638</v>
      </c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</row>
    <row r="23" spans="1:43">
      <c r="A23" s="9">
        <f t="shared" si="3"/>
        <v>9</v>
      </c>
      <c r="B23" s="3"/>
      <c r="C23" s="97"/>
      <c r="D23" s="1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</row>
    <row r="24" spans="1:43">
      <c r="A24" s="9">
        <f t="shared" si="3"/>
        <v>10</v>
      </c>
      <c r="B24" s="3"/>
      <c r="C24" s="97" t="s">
        <v>42</v>
      </c>
      <c r="D24" s="1" t="s">
        <v>411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</row>
    <row r="25" spans="1:43">
      <c r="A25" s="9">
        <f t="shared" si="3"/>
        <v>11</v>
      </c>
      <c r="B25" s="3"/>
      <c r="C25" s="97" t="str">
        <f>+C15</f>
        <v xml:space="preserve">  Production</v>
      </c>
      <c r="D25" s="1" t="s">
        <v>407</v>
      </c>
      <c r="E25" s="19">
        <f t="shared" ref="E25:Q30" si="5">+E79-E100+E121-E143+E164</f>
        <v>218559376.06945014</v>
      </c>
      <c r="F25" s="19">
        <f t="shared" si="5"/>
        <v>224058925.35347837</v>
      </c>
      <c r="G25" s="19">
        <f t="shared" si="5"/>
        <v>225578469.65153465</v>
      </c>
      <c r="H25" s="19">
        <f t="shared" si="5"/>
        <v>223105650.87181878</v>
      </c>
      <c r="I25" s="19">
        <f t="shared" si="5"/>
        <v>228579573.74664745</v>
      </c>
      <c r="J25" s="19">
        <f t="shared" si="5"/>
        <v>229883775.96811762</v>
      </c>
      <c r="K25" s="19">
        <f t="shared" si="5"/>
        <v>225953639.52825505</v>
      </c>
      <c r="L25" s="19">
        <f t="shared" si="5"/>
        <v>232010641.14485475</v>
      </c>
      <c r="M25" s="19">
        <f t="shared" si="5"/>
        <v>233418925.48224589</v>
      </c>
      <c r="N25" s="19">
        <f t="shared" si="5"/>
        <v>223212336.14062712</v>
      </c>
      <c r="O25" s="19">
        <f t="shared" si="5"/>
        <v>235113428.11042663</v>
      </c>
      <c r="P25" s="19">
        <f t="shared" si="5"/>
        <v>235820298.80236495</v>
      </c>
      <c r="Q25" s="19">
        <f>+Q79-Q100+Q121-Q143+Q164</f>
        <v>226175486.68207696</v>
      </c>
      <c r="R25" s="19">
        <f t="shared" ref="R25:R31" si="6">AVERAGE(E25:Q25)</f>
        <v>227805425.19629985</v>
      </c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</row>
    <row r="26" spans="1:43">
      <c r="A26" s="9">
        <f t="shared" si="3"/>
        <v>12</v>
      </c>
      <c r="B26" s="3"/>
      <c r="C26" s="97" t="s">
        <v>215</v>
      </c>
      <c r="D26" s="1" t="s">
        <v>122</v>
      </c>
      <c r="E26" s="19">
        <f t="shared" si="5"/>
        <v>44394064.300561272</v>
      </c>
      <c r="F26" s="19">
        <f t="shared" si="5"/>
        <v>45398759.820575729</v>
      </c>
      <c r="G26" s="19">
        <f t="shared" si="5"/>
        <v>45847425.471051231</v>
      </c>
      <c r="H26" s="19">
        <f t="shared" si="5"/>
        <v>45743473.450353973</v>
      </c>
      <c r="I26" s="19">
        <f t="shared" si="5"/>
        <v>46730658.383907683</v>
      </c>
      <c r="J26" s="19">
        <f t="shared" si="5"/>
        <v>47196436.755308554</v>
      </c>
      <c r="K26" s="19">
        <f t="shared" si="5"/>
        <v>46949880.1619047</v>
      </c>
      <c r="L26" s="19">
        <f t="shared" si="5"/>
        <v>47780503.877811931</v>
      </c>
      <c r="M26" s="19">
        <f t="shared" si="5"/>
        <v>48222949.152413934</v>
      </c>
      <c r="N26" s="19">
        <f t="shared" si="5"/>
        <v>48114332.712457508</v>
      </c>
      <c r="O26" s="19">
        <f t="shared" si="5"/>
        <v>48742208.316749536</v>
      </c>
      <c r="P26" s="19">
        <f t="shared" si="5"/>
        <v>49179953.6686491</v>
      </c>
      <c r="Q26" s="19">
        <f t="shared" si="5"/>
        <v>48399379.671016805</v>
      </c>
      <c r="R26" s="19">
        <f t="shared" si="6"/>
        <v>47130771.210981689</v>
      </c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</row>
    <row r="27" spans="1:43">
      <c r="A27" s="9">
        <f t="shared" si="3"/>
        <v>13</v>
      </c>
      <c r="B27" s="3"/>
      <c r="C27" s="97" t="s">
        <v>216</v>
      </c>
      <c r="D27" s="1" t="s">
        <v>123</v>
      </c>
      <c r="E27" s="19">
        <f t="shared" si="5"/>
        <v>154227432.81753504</v>
      </c>
      <c r="F27" s="19">
        <f t="shared" si="5"/>
        <v>159221759.12239951</v>
      </c>
      <c r="G27" s="19">
        <f t="shared" si="5"/>
        <v>160142811.30648357</v>
      </c>
      <c r="H27" s="19">
        <f t="shared" si="5"/>
        <v>154911360.81062537</v>
      </c>
      <c r="I27" s="19">
        <f t="shared" si="5"/>
        <v>161231080.33760405</v>
      </c>
      <c r="J27" s="19">
        <f t="shared" si="5"/>
        <v>161969168.11918211</v>
      </c>
      <c r="K27" s="19">
        <f t="shared" si="5"/>
        <v>156386358.8910504</v>
      </c>
      <c r="L27" s="19">
        <f t="shared" si="5"/>
        <v>162560282.88925108</v>
      </c>
      <c r="M27" s="19">
        <f t="shared" si="5"/>
        <v>163002642.42267528</v>
      </c>
      <c r="N27" s="19">
        <f t="shared" si="5"/>
        <v>158183040.8302381</v>
      </c>
      <c r="O27" s="19">
        <f t="shared" si="5"/>
        <v>164110220.11593771</v>
      </c>
      <c r="P27" s="19">
        <f t="shared" si="5"/>
        <v>164896700.82964513</v>
      </c>
      <c r="Q27" s="19">
        <f t="shared" si="5"/>
        <v>159225519.84756005</v>
      </c>
      <c r="R27" s="19">
        <f>AVERAGE(E27:Q27)</f>
        <v>160005259.87232211</v>
      </c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</row>
    <row r="28" spans="1:43">
      <c r="A28" s="9">
        <f t="shared" si="3"/>
        <v>14</v>
      </c>
      <c r="B28" s="3"/>
      <c r="C28" s="97" t="str">
        <f>+C18</f>
        <v xml:space="preserve">  General &amp; Intangible</v>
      </c>
      <c r="D28" s="1" t="s">
        <v>443</v>
      </c>
      <c r="E28" s="19">
        <f t="shared" si="5"/>
        <v>29306963.765748475</v>
      </c>
      <c r="F28" s="19">
        <f t="shared" si="5"/>
        <v>27100232.295123566</v>
      </c>
      <c r="G28" s="19">
        <f t="shared" si="5"/>
        <v>27359640.172993399</v>
      </c>
      <c r="H28" s="19">
        <f t="shared" si="5"/>
        <v>27228715.573811911</v>
      </c>
      <c r="I28" s="19">
        <f t="shared" si="5"/>
        <v>27443160.103710398</v>
      </c>
      <c r="J28" s="19">
        <f t="shared" si="5"/>
        <v>27099819.583070587</v>
      </c>
      <c r="K28" s="19">
        <f t="shared" si="5"/>
        <v>27147615.095976587</v>
      </c>
      <c r="L28" s="19">
        <f t="shared" si="5"/>
        <v>27410511.089798685</v>
      </c>
      <c r="M28" s="19">
        <f t="shared" si="5"/>
        <v>27652172.651538745</v>
      </c>
      <c r="N28" s="19">
        <f t="shared" si="5"/>
        <v>26610588.211966995</v>
      </c>
      <c r="O28" s="19">
        <f t="shared" si="5"/>
        <v>26839721.543089282</v>
      </c>
      <c r="P28" s="19">
        <f t="shared" si="5"/>
        <v>27026272.780877385</v>
      </c>
      <c r="Q28" s="19">
        <f>+Q82-Q103+Q124-Q146+Q167</f>
        <v>27243496.280582614</v>
      </c>
      <c r="R28" s="19">
        <f>AVERAGE(E28:Q28)</f>
        <v>27343762.242176048</v>
      </c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</row>
    <row r="29" spans="1:43">
      <c r="A29" s="9">
        <f t="shared" si="3"/>
        <v>15</v>
      </c>
      <c r="B29" s="3"/>
      <c r="C29" s="97" t="s">
        <v>137</v>
      </c>
      <c r="D29" s="1" t="s">
        <v>444</v>
      </c>
      <c r="E29" s="19">
        <f t="shared" si="5"/>
        <v>1972780.0256639854</v>
      </c>
      <c r="F29" s="19">
        <f t="shared" si="5"/>
        <v>2324408.9676350257</v>
      </c>
      <c r="G29" s="19">
        <f t="shared" si="5"/>
        <v>2502715.8733330867</v>
      </c>
      <c r="H29" s="19">
        <f t="shared" si="5"/>
        <v>2598880.6068096831</v>
      </c>
      <c r="I29" s="19">
        <f t="shared" si="5"/>
        <v>2916777.5280511742</v>
      </c>
      <c r="J29" s="19">
        <f t="shared" si="5"/>
        <v>3171390.1560424143</v>
      </c>
      <c r="K29" s="19">
        <f t="shared" si="5"/>
        <v>3261327.0438377452</v>
      </c>
      <c r="L29" s="19">
        <f t="shared" si="5"/>
        <v>3661984.7730747461</v>
      </c>
      <c r="M29" s="19">
        <f t="shared" si="5"/>
        <v>3987205.4693551031</v>
      </c>
      <c r="N29" s="19">
        <f t="shared" si="5"/>
        <v>4307335.6956398217</v>
      </c>
      <c r="O29" s="19">
        <f t="shared" si="5"/>
        <v>4515031.8736785194</v>
      </c>
      <c r="P29" s="19">
        <f t="shared" si="5"/>
        <v>4622590.1072250269</v>
      </c>
      <c r="Q29" s="19">
        <f t="shared" si="5"/>
        <v>4090055.7169254255</v>
      </c>
      <c r="R29" s="19">
        <f>AVERAGE(E29:Q29)</f>
        <v>3379421.8336362895</v>
      </c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1:43">
      <c r="A30" s="9">
        <f t="shared" si="3"/>
        <v>16</v>
      </c>
      <c r="B30" s="3"/>
      <c r="C30" s="97" t="str">
        <f>+C20</f>
        <v xml:space="preserve">  Communication System</v>
      </c>
      <c r="D30" s="1" t="s">
        <v>445</v>
      </c>
      <c r="E30" s="19">
        <f>4900885.169278-1674358.91</f>
        <v>3226526.2592779994</v>
      </c>
      <c r="F30" s="19">
        <f>+F84-F105+F126-F148+F169</f>
        <v>4946114.3040096676</v>
      </c>
      <c r="G30" s="19">
        <f t="shared" si="5"/>
        <v>4991343.468741335</v>
      </c>
      <c r="H30" s="19">
        <f t="shared" si="5"/>
        <v>5036580.4653970851</v>
      </c>
      <c r="I30" s="19">
        <f t="shared" si="5"/>
        <v>5039008.6967249187</v>
      </c>
      <c r="J30" s="19">
        <f t="shared" si="5"/>
        <v>5084024.8584579183</v>
      </c>
      <c r="K30" s="19">
        <f t="shared" si="5"/>
        <v>5126862.482875335</v>
      </c>
      <c r="L30" s="19">
        <f t="shared" si="5"/>
        <v>5170066.8937685853</v>
      </c>
      <c r="M30" s="19">
        <f t="shared" si="5"/>
        <v>5215021.5010300856</v>
      </c>
      <c r="N30" s="19">
        <f t="shared" si="5"/>
        <v>4289804.8820650019</v>
      </c>
      <c r="O30" s="19">
        <f t="shared" si="5"/>
        <v>4333834.632378418</v>
      </c>
      <c r="P30" s="19">
        <f t="shared" si="5"/>
        <v>4376819.9751260858</v>
      </c>
      <c r="Q30" s="19">
        <f>+Q84-Q105+Q126-Q148+Q169</f>
        <v>4419430.1150747519</v>
      </c>
      <c r="R30" s="19">
        <f t="shared" si="6"/>
        <v>4711956.8103790144</v>
      </c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</row>
    <row r="31" spans="1:43">
      <c r="A31" s="9">
        <f t="shared" si="3"/>
        <v>17</v>
      </c>
      <c r="B31" s="3"/>
      <c r="C31" s="97" t="str">
        <f>+C21</f>
        <v xml:space="preserve">  Common</v>
      </c>
      <c r="D31" s="1" t="s">
        <v>220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>
        <v>0</v>
      </c>
      <c r="R31" s="19">
        <f t="shared" si="6"/>
        <v>0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</row>
    <row r="32" spans="1:43">
      <c r="A32" s="9">
        <f t="shared" si="3"/>
        <v>18</v>
      </c>
      <c r="B32" s="3"/>
      <c r="C32" s="97" t="s">
        <v>7</v>
      </c>
      <c r="D32" s="1" t="str">
        <f>"(sum lines "&amp;A25&amp;" - "&amp;A31&amp;")"</f>
        <v>(sum lines 11 - 17)</v>
      </c>
      <c r="E32" s="49">
        <f>SUM(E25:E31)</f>
        <v>451687143.23823696</v>
      </c>
      <c r="F32" s="49">
        <f>SUM(F25:F31)</f>
        <v>463050199.86322188</v>
      </c>
      <c r="G32" s="49">
        <f t="shared" ref="G32:R32" si="7">SUM(G25:G31)</f>
        <v>466422405.94413733</v>
      </c>
      <c r="H32" s="49">
        <f t="shared" si="7"/>
        <v>458624661.77881676</v>
      </c>
      <c r="I32" s="49">
        <f t="shared" si="7"/>
        <v>471940258.7966457</v>
      </c>
      <c r="J32" s="49">
        <f t="shared" si="7"/>
        <v>474404615.44017917</v>
      </c>
      <c r="K32" s="49">
        <f t="shared" si="7"/>
        <v>464825683.2038998</v>
      </c>
      <c r="L32" s="49">
        <f t="shared" si="7"/>
        <v>478593990.66855985</v>
      </c>
      <c r="M32" s="49">
        <f t="shared" si="7"/>
        <v>481498916.67925906</v>
      </c>
      <c r="N32" s="49">
        <f t="shared" si="7"/>
        <v>464717438.47299457</v>
      </c>
      <c r="O32" s="49">
        <f>SUM(O25:O31)</f>
        <v>483654444.59226006</v>
      </c>
      <c r="P32" s="49">
        <f>SUM(P25:P31)</f>
        <v>485922636.16388768</v>
      </c>
      <c r="Q32" s="49">
        <f>SUM(Q25:Q31)</f>
        <v>469553368.31323659</v>
      </c>
      <c r="R32" s="49">
        <f t="shared" si="7"/>
        <v>470376597.16579497</v>
      </c>
      <c r="S32" s="1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</row>
    <row r="33" spans="1:43">
      <c r="A33" s="9">
        <f t="shared" si="3"/>
        <v>19</v>
      </c>
      <c r="B33" s="3"/>
      <c r="C33" s="3"/>
      <c r="D33" s="1" t="s">
        <v>194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</row>
    <row r="34" spans="1:43">
      <c r="A34" s="9">
        <f t="shared" si="3"/>
        <v>20</v>
      </c>
      <c r="B34" s="3"/>
      <c r="C34" s="97" t="s">
        <v>223</v>
      </c>
      <c r="D34" s="1" t="s">
        <v>411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</row>
    <row r="35" spans="1:43">
      <c r="A35" s="9">
        <f t="shared" si="3"/>
        <v>21</v>
      </c>
      <c r="B35" s="3"/>
      <c r="C35" s="97" t="str">
        <f>+C25</f>
        <v xml:space="preserve">  Production</v>
      </c>
      <c r="D35" s="1" t="str">
        <f t="shared" ref="D35:D41" si="8">"(line "&amp;A15&amp;" - line "&amp;A25&amp;")"</f>
        <v>(line 1 - line 11)</v>
      </c>
      <c r="E35" s="19">
        <f t="shared" ref="E35:E41" si="9">+E15-E25</f>
        <v>444801570.93054986</v>
      </c>
      <c r="F35" s="19">
        <f t="shared" ref="F35:Q35" si="10">+F15-F25</f>
        <v>443128443.33652157</v>
      </c>
      <c r="G35" s="19">
        <f t="shared" si="10"/>
        <v>442202150.0984652</v>
      </c>
      <c r="H35" s="19">
        <f t="shared" si="10"/>
        <v>440730468.63818121</v>
      </c>
      <c r="I35" s="19">
        <f t="shared" si="10"/>
        <v>437620044.07335234</v>
      </c>
      <c r="J35" s="19">
        <f t="shared" si="10"/>
        <v>436661250.9118824</v>
      </c>
      <c r="K35" s="19">
        <f t="shared" si="10"/>
        <v>435175452.14174491</v>
      </c>
      <c r="L35" s="19">
        <f t="shared" si="10"/>
        <v>437377948.96514535</v>
      </c>
      <c r="M35" s="19">
        <f t="shared" si="10"/>
        <v>444937890.16775429</v>
      </c>
      <c r="N35" s="19">
        <f t="shared" si="10"/>
        <v>442741913.26937282</v>
      </c>
      <c r="O35" s="19">
        <f t="shared" si="10"/>
        <v>443824892.6795733</v>
      </c>
      <c r="P35" s="19">
        <f t="shared" si="10"/>
        <v>444107113.34763527</v>
      </c>
      <c r="Q35" s="19">
        <f t="shared" si="10"/>
        <v>459187914.68792307</v>
      </c>
      <c r="R35" s="19">
        <f>R15-R25</f>
        <v>442499773.32677716</v>
      </c>
      <c r="S35" s="1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</row>
    <row r="36" spans="1:43">
      <c r="A36" s="9">
        <f t="shared" si="3"/>
        <v>22</v>
      </c>
      <c r="B36" s="3"/>
      <c r="C36" s="97" t="s">
        <v>215</v>
      </c>
      <c r="D36" s="1" t="str">
        <f t="shared" si="8"/>
        <v>(line 2 - line 12)</v>
      </c>
      <c r="E36" s="19">
        <f t="shared" si="9"/>
        <v>196752776.78943866</v>
      </c>
      <c r="F36" s="19">
        <f t="shared" ref="F36:Q41" si="11">+F16-F26</f>
        <v>196947167.05942422</v>
      </c>
      <c r="G36" s="19">
        <f t="shared" si="11"/>
        <v>196047581.12894875</v>
      </c>
      <c r="H36" s="19">
        <f t="shared" si="11"/>
        <v>195674122.819646</v>
      </c>
      <c r="I36" s="19">
        <f t="shared" si="11"/>
        <v>197803639.57609233</v>
      </c>
      <c r="J36" s="19">
        <f t="shared" si="11"/>
        <v>204073803.33469141</v>
      </c>
      <c r="K36" s="19">
        <f t="shared" si="11"/>
        <v>203828653.93809527</v>
      </c>
      <c r="L36" s="19">
        <f t="shared" si="11"/>
        <v>203042044.79218805</v>
      </c>
      <c r="M36" s="19">
        <f t="shared" si="11"/>
        <v>202980097.70758605</v>
      </c>
      <c r="N36" s="19">
        <f t="shared" si="11"/>
        <v>202618241.82754248</v>
      </c>
      <c r="O36" s="19">
        <f t="shared" si="11"/>
        <v>202335412.41325045</v>
      </c>
      <c r="P36" s="19">
        <f t="shared" si="11"/>
        <v>201696366.25135091</v>
      </c>
      <c r="Q36" s="19">
        <f t="shared" si="11"/>
        <v>206473222.89898318</v>
      </c>
      <c r="R36" s="19">
        <f t="shared" ref="R36:R41" si="12">R16-R26</f>
        <v>200790240.81055677</v>
      </c>
      <c r="S36" s="1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</row>
    <row r="37" spans="1:43">
      <c r="A37" s="9">
        <f t="shared" si="3"/>
        <v>23</v>
      </c>
      <c r="B37" s="3"/>
      <c r="C37" s="97" t="s">
        <v>297</v>
      </c>
      <c r="D37" s="1" t="str">
        <f t="shared" si="8"/>
        <v>(line 3 - line 13)</v>
      </c>
      <c r="E37" s="19">
        <f t="shared" si="9"/>
        <v>318803748.202465</v>
      </c>
      <c r="F37" s="19">
        <f t="shared" si="11"/>
        <v>319067730.75760055</v>
      </c>
      <c r="G37" s="19">
        <f t="shared" si="11"/>
        <v>321107498.4135164</v>
      </c>
      <c r="H37" s="19">
        <f t="shared" si="11"/>
        <v>321662828.37937462</v>
      </c>
      <c r="I37" s="19">
        <f t="shared" si="11"/>
        <v>315550282.37239587</v>
      </c>
      <c r="J37" s="19">
        <f t="shared" si="11"/>
        <v>315560931.84081793</v>
      </c>
      <c r="K37" s="19">
        <f t="shared" si="11"/>
        <v>316169603.21894968</v>
      </c>
      <c r="L37" s="19">
        <f t="shared" si="11"/>
        <v>319130262.870749</v>
      </c>
      <c r="M37" s="19">
        <f t="shared" si="11"/>
        <v>321031133.42732465</v>
      </c>
      <c r="N37" s="19">
        <f t="shared" si="11"/>
        <v>325098878.82976192</v>
      </c>
      <c r="O37" s="19">
        <f t="shared" si="11"/>
        <v>325032585.84406245</v>
      </c>
      <c r="P37" s="19">
        <f t="shared" si="11"/>
        <v>325033245.72035491</v>
      </c>
      <c r="Q37" s="19">
        <f t="shared" si="11"/>
        <v>328467929.66244</v>
      </c>
      <c r="R37" s="19">
        <f t="shared" si="12"/>
        <v>320901281.50306261</v>
      </c>
      <c r="S37" s="1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</row>
    <row r="38" spans="1:43">
      <c r="A38" s="9">
        <f t="shared" si="3"/>
        <v>24</v>
      </c>
      <c r="B38" s="3"/>
      <c r="C38" s="97" t="str">
        <f>+C28</f>
        <v xml:space="preserve">  General &amp; Intangible</v>
      </c>
      <c r="D38" s="1" t="str">
        <f t="shared" si="8"/>
        <v>(line 4 - line 14)</v>
      </c>
      <c r="E38" s="19">
        <f t="shared" si="9"/>
        <v>31182167.744251516</v>
      </c>
      <c r="F38" s="19">
        <f t="shared" si="11"/>
        <v>34070087.204876408</v>
      </c>
      <c r="G38" s="19">
        <f t="shared" si="11"/>
        <v>33983516.907006554</v>
      </c>
      <c r="H38" s="19">
        <f t="shared" si="11"/>
        <v>34836957.036188073</v>
      </c>
      <c r="I38" s="19">
        <f t="shared" si="11"/>
        <v>34878152.676289558</v>
      </c>
      <c r="J38" s="19">
        <f t="shared" si="11"/>
        <v>34793841.366929382</v>
      </c>
      <c r="K38" s="19">
        <f t="shared" si="11"/>
        <v>34978453.754023388</v>
      </c>
      <c r="L38" s="19">
        <f t="shared" si="11"/>
        <v>34591627.650201306</v>
      </c>
      <c r="M38" s="19">
        <f t="shared" si="11"/>
        <v>34406124.718461245</v>
      </c>
      <c r="N38" s="19">
        <f t="shared" si="11"/>
        <v>34182072.788032994</v>
      </c>
      <c r="O38" s="19">
        <f t="shared" si="11"/>
        <v>35395506.086910695</v>
      </c>
      <c r="P38" s="19">
        <f t="shared" si="11"/>
        <v>34727368.029122606</v>
      </c>
      <c r="Q38" s="19">
        <f t="shared" si="11"/>
        <v>34210099.969417386</v>
      </c>
      <c r="R38" s="19">
        <f t="shared" si="12"/>
        <v>34325844.30243931</v>
      </c>
      <c r="S38" s="1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</row>
    <row r="39" spans="1:43">
      <c r="A39" s="9">
        <f t="shared" si="3"/>
        <v>25</v>
      </c>
      <c r="B39" s="3"/>
      <c r="C39" s="97" t="s">
        <v>137</v>
      </c>
      <c r="D39" s="1" t="str">
        <f t="shared" si="8"/>
        <v>(line 5 - line 15)</v>
      </c>
      <c r="E39" s="19">
        <f t="shared" si="9"/>
        <v>24053741.974336013</v>
      </c>
      <c r="F39" s="19">
        <f t="shared" si="11"/>
        <v>23747595.032364976</v>
      </c>
      <c r="G39" s="19">
        <f t="shared" si="11"/>
        <v>23558347.126666915</v>
      </c>
      <c r="H39" s="19">
        <f t="shared" si="11"/>
        <v>23548717.393190317</v>
      </c>
      <c r="I39" s="19">
        <f t="shared" si="11"/>
        <v>23319984.471948825</v>
      </c>
      <c r="J39" s="19">
        <f t="shared" si="11"/>
        <v>23153999.843957584</v>
      </c>
      <c r="K39" s="19">
        <f t="shared" si="11"/>
        <v>22918632.956162255</v>
      </c>
      <c r="L39" s="19">
        <f t="shared" si="11"/>
        <v>22578801.226925254</v>
      </c>
      <c r="M39" s="19">
        <f t="shared" si="11"/>
        <v>23117676.530644897</v>
      </c>
      <c r="N39" s="19">
        <f t="shared" si="11"/>
        <v>23373146.304360177</v>
      </c>
      <c r="O39" s="19">
        <f t="shared" si="11"/>
        <v>23157758.12632148</v>
      </c>
      <c r="P39" s="19">
        <f t="shared" si="11"/>
        <v>23473335.892774973</v>
      </c>
      <c r="Q39" s="19">
        <f t="shared" si="11"/>
        <v>24333836.619506575</v>
      </c>
      <c r="R39" s="19">
        <f t="shared" si="12"/>
        <v>23410428.730704635</v>
      </c>
      <c r="S39" s="1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</row>
    <row r="40" spans="1:43">
      <c r="A40" s="9">
        <f t="shared" si="3"/>
        <v>26</v>
      </c>
      <c r="B40" s="3"/>
      <c r="C40" s="97" t="str">
        <f>+C30</f>
        <v xml:space="preserve">  Communication System</v>
      </c>
      <c r="D40" s="1" t="str">
        <f t="shared" si="8"/>
        <v>(line 6 - line 16)</v>
      </c>
      <c r="E40" s="19">
        <f t="shared" si="9"/>
        <v>4051528.2007219996</v>
      </c>
      <c r="F40" s="19">
        <f t="shared" si="11"/>
        <v>2331951.4959903313</v>
      </c>
      <c r="G40" s="19">
        <f t="shared" si="11"/>
        <v>2286722.3312586639</v>
      </c>
      <c r="H40" s="19">
        <f t="shared" si="11"/>
        <v>2243566.1246029148</v>
      </c>
      <c r="I40" s="19">
        <f t="shared" si="11"/>
        <v>2204990.0432750816</v>
      </c>
      <c r="J40" s="19">
        <f t="shared" si="11"/>
        <v>2159986.7015420822</v>
      </c>
      <c r="K40" s="19">
        <f t="shared" si="11"/>
        <v>2114989.5071246643</v>
      </c>
      <c r="L40" s="19">
        <f t="shared" si="11"/>
        <v>2066323.1962314146</v>
      </c>
      <c r="M40" s="19">
        <f t="shared" si="11"/>
        <v>2021485.6789699141</v>
      </c>
      <c r="N40" s="19">
        <f t="shared" si="11"/>
        <v>2545672.207934998</v>
      </c>
      <c r="O40" s="19">
        <f t="shared" si="11"/>
        <v>2710888.0776215829</v>
      </c>
      <c r="P40" s="19">
        <f t="shared" si="11"/>
        <v>2482274.9448739141</v>
      </c>
      <c r="Q40" s="19">
        <f>+Q20-Q30</f>
        <v>2442798.1249252483</v>
      </c>
      <c r="R40" s="19">
        <f t="shared" si="12"/>
        <v>2435628.9719286766</v>
      </c>
      <c r="S40" s="1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</row>
    <row r="41" spans="1:43">
      <c r="A41" s="9">
        <f t="shared" si="3"/>
        <v>27</v>
      </c>
      <c r="B41" s="3"/>
      <c r="C41" s="97" t="str">
        <f>+C31</f>
        <v xml:space="preserve">  Common</v>
      </c>
      <c r="D41" s="1" t="str">
        <f t="shared" si="8"/>
        <v>(line 7 - line 17)</v>
      </c>
      <c r="E41" s="19">
        <f t="shared" si="9"/>
        <v>0</v>
      </c>
      <c r="F41" s="19">
        <f t="shared" si="11"/>
        <v>0</v>
      </c>
      <c r="G41" s="19">
        <f t="shared" si="11"/>
        <v>0</v>
      </c>
      <c r="H41" s="19">
        <f t="shared" si="11"/>
        <v>0</v>
      </c>
      <c r="I41" s="19">
        <f t="shared" si="11"/>
        <v>0</v>
      </c>
      <c r="J41" s="19">
        <f t="shared" si="11"/>
        <v>0</v>
      </c>
      <c r="K41" s="19">
        <f t="shared" si="11"/>
        <v>0</v>
      </c>
      <c r="L41" s="19">
        <f t="shared" si="11"/>
        <v>0</v>
      </c>
      <c r="M41" s="19">
        <f t="shared" si="11"/>
        <v>0</v>
      </c>
      <c r="N41" s="19">
        <f t="shared" si="11"/>
        <v>0</v>
      </c>
      <c r="O41" s="19">
        <f t="shared" si="11"/>
        <v>0</v>
      </c>
      <c r="P41" s="19">
        <f t="shared" si="11"/>
        <v>0</v>
      </c>
      <c r="Q41" s="19">
        <f t="shared" si="11"/>
        <v>0</v>
      </c>
      <c r="R41" s="47">
        <f t="shared" si="12"/>
        <v>0</v>
      </c>
      <c r="S41" s="1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</row>
    <row r="42" spans="1:43">
      <c r="A42" s="9">
        <f t="shared" si="3"/>
        <v>28</v>
      </c>
      <c r="B42" s="3"/>
      <c r="C42" s="97" t="s">
        <v>6</v>
      </c>
      <c r="D42" s="1" t="str">
        <f>"(sum lines "&amp;A35&amp;" - "&amp;A41&amp;")"</f>
        <v>(sum lines 21 - 27)</v>
      </c>
      <c r="E42" s="49">
        <f>SUM(E35:E41)</f>
        <v>1019645533.8417631</v>
      </c>
      <c r="F42" s="49">
        <f t="shared" ref="F42:Q42" si="13">SUM(F35:F41)</f>
        <v>1019292974.886778</v>
      </c>
      <c r="G42" s="49">
        <f t="shared" si="13"/>
        <v>1019185816.0058624</v>
      </c>
      <c r="H42" s="49">
        <f t="shared" si="13"/>
        <v>1018696660.3911831</v>
      </c>
      <c r="I42" s="49">
        <f t="shared" si="13"/>
        <v>1011377093.2133541</v>
      </c>
      <c r="J42" s="49">
        <f t="shared" si="13"/>
        <v>1016403813.9998208</v>
      </c>
      <c r="K42" s="49">
        <f t="shared" si="13"/>
        <v>1015185785.5161002</v>
      </c>
      <c r="L42" s="49">
        <f t="shared" si="13"/>
        <v>1018787008.7014403</v>
      </c>
      <c r="M42" s="49">
        <f t="shared" si="13"/>
        <v>1028494408.230741</v>
      </c>
      <c r="N42" s="49">
        <f t="shared" si="13"/>
        <v>1030559925.2270054</v>
      </c>
      <c r="O42" s="49">
        <f t="shared" si="13"/>
        <v>1032457043.2277399</v>
      </c>
      <c r="P42" s="49">
        <f t="shared" si="13"/>
        <v>1031519704.1861125</v>
      </c>
      <c r="Q42" s="49">
        <f t="shared" si="13"/>
        <v>1055115801.9631954</v>
      </c>
      <c r="R42" s="49">
        <f>SUM(R35:R41)</f>
        <v>1024363197.6454692</v>
      </c>
      <c r="S42" s="1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</row>
    <row r="43" spans="1:43">
      <c r="A43" s="9"/>
      <c r="B43" s="3"/>
      <c r="C43" s="97"/>
      <c r="D43" s="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</row>
    <row r="44" spans="1:43">
      <c r="A44" s="9"/>
      <c r="B44" s="3"/>
      <c r="C44" s="97" t="s">
        <v>412</v>
      </c>
      <c r="D44" s="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</row>
    <row r="45" spans="1:43" ht="18">
      <c r="A45" s="9"/>
      <c r="B45" s="3"/>
      <c r="C45" s="96" t="s">
        <v>413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</row>
    <row r="46" spans="1:43">
      <c r="A46" s="9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Q46" s="1"/>
      <c r="R46" s="1"/>
      <c r="S46" s="1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</row>
    <row r="47" spans="1:43" ht="23.25">
      <c r="A47" s="9"/>
      <c r="B47" s="3"/>
      <c r="C47" s="97"/>
      <c r="D47" s="1"/>
      <c r="E47" s="72" t="s">
        <v>464</v>
      </c>
      <c r="F47" s="1"/>
      <c r="G47" s="1"/>
      <c r="H47" s="92"/>
      <c r="I47" s="97"/>
      <c r="J47" s="1"/>
      <c r="S47" s="1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</row>
    <row r="48" spans="1:43">
      <c r="A48" s="9">
        <f>+A42+1</f>
        <v>29</v>
      </c>
      <c r="B48" s="3"/>
      <c r="C48" s="3"/>
      <c r="D48" s="1"/>
      <c r="E48" s="73" t="s">
        <v>26</v>
      </c>
      <c r="F48" s="73" t="s">
        <v>27</v>
      </c>
      <c r="G48" s="73" t="s">
        <v>28</v>
      </c>
      <c r="H48" s="73"/>
      <c r="I48" s="3"/>
      <c r="J48" s="3"/>
      <c r="K48" s="3"/>
      <c r="L48" s="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</row>
    <row r="49" spans="1:36">
      <c r="A49" s="9">
        <f t="shared" si="3"/>
        <v>30</v>
      </c>
      <c r="B49" s="3"/>
      <c r="C49" s="96" t="s">
        <v>408</v>
      </c>
      <c r="D49" s="1"/>
      <c r="E49" s="74">
        <v>44166</v>
      </c>
      <c r="F49" s="74">
        <v>44531</v>
      </c>
      <c r="G49" s="1" t="s">
        <v>40</v>
      </c>
      <c r="H49" s="74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</row>
    <row r="50" spans="1:36">
      <c r="A50" s="9">
        <f t="shared" si="3"/>
        <v>31</v>
      </c>
      <c r="B50" s="3"/>
      <c r="C50" s="97" t="s">
        <v>269</v>
      </c>
      <c r="D50" s="1" t="s">
        <v>401</v>
      </c>
      <c r="E50" s="19">
        <v>0</v>
      </c>
      <c r="F50" s="19">
        <v>0</v>
      </c>
      <c r="G50" s="19">
        <f t="shared" ref="G50:G55" si="14">(+E50+F50)/2</f>
        <v>0</v>
      </c>
      <c r="H50" s="19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</row>
    <row r="51" spans="1:36">
      <c r="A51" s="9">
        <f t="shared" si="3"/>
        <v>32</v>
      </c>
      <c r="B51" s="3"/>
      <c r="C51" s="97" t="s">
        <v>270</v>
      </c>
      <c r="D51" s="1" t="s">
        <v>402</v>
      </c>
      <c r="E51" s="19">
        <v>-134794823.62025249</v>
      </c>
      <c r="F51" s="19">
        <v>-139177648.6375857</v>
      </c>
      <c r="G51" s="19">
        <f t="shared" si="14"/>
        <v>-136986236.12891909</v>
      </c>
      <c r="H51" s="97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</row>
    <row r="52" spans="1:36">
      <c r="A52" s="9">
        <f>+A51+1</f>
        <v>33</v>
      </c>
      <c r="B52" s="3"/>
      <c r="C52" s="97" t="s">
        <v>271</v>
      </c>
      <c r="D52" s="1" t="s">
        <v>403</v>
      </c>
      <c r="E52" s="47">
        <v>-17983096</v>
      </c>
      <c r="F52" s="47">
        <v>-18955496</v>
      </c>
      <c r="G52" s="19">
        <f t="shared" si="14"/>
        <v>-18469296</v>
      </c>
      <c r="H52" s="97"/>
      <c r="J52" s="1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</row>
    <row r="53" spans="1:36">
      <c r="A53" s="9">
        <f>+A52+1</f>
        <v>34</v>
      </c>
      <c r="B53" s="3"/>
      <c r="C53" s="97" t="s">
        <v>273</v>
      </c>
      <c r="D53" s="1" t="s">
        <v>404</v>
      </c>
      <c r="E53" s="47">
        <v>37982694</v>
      </c>
      <c r="F53" s="47">
        <v>37495191</v>
      </c>
      <c r="G53" s="19">
        <f t="shared" si="14"/>
        <v>37738942.5</v>
      </c>
      <c r="H53" s="97"/>
      <c r="J53" s="1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</row>
    <row r="54" spans="1:36">
      <c r="A54" s="9">
        <f>+A53+1</f>
        <v>35</v>
      </c>
      <c r="B54" s="3"/>
      <c r="C54" s="3" t="s">
        <v>272</v>
      </c>
      <c r="D54" s="1" t="s">
        <v>446</v>
      </c>
      <c r="E54" s="47">
        <v>0</v>
      </c>
      <c r="F54" s="47"/>
      <c r="G54" s="19">
        <f t="shared" si="14"/>
        <v>0</v>
      </c>
      <c r="H54" s="1"/>
      <c r="J54" s="1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</row>
    <row r="55" spans="1:36">
      <c r="A55" s="9">
        <f t="shared" si="3"/>
        <v>36</v>
      </c>
      <c r="B55" s="3"/>
      <c r="C55" s="97" t="s">
        <v>292</v>
      </c>
      <c r="D55" s="3" t="s">
        <v>447</v>
      </c>
      <c r="E55" s="272">
        <v>-93343907.373960704</v>
      </c>
      <c r="F55" s="272">
        <v>-93343907.373960704</v>
      </c>
      <c r="G55" s="272">
        <f t="shared" si="14"/>
        <v>-93343907.373960704</v>
      </c>
      <c r="H55" s="97"/>
      <c r="J55" s="1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</row>
    <row r="56" spans="1:36">
      <c r="A56" s="9">
        <f t="shared" si="3"/>
        <v>37</v>
      </c>
      <c r="B56" s="3"/>
      <c r="C56" s="97" t="s">
        <v>8</v>
      </c>
      <c r="D56" s="1" t="str">
        <f>"(sum lines "&amp;A50&amp;" - "&amp;A55&amp;")"</f>
        <v>(sum lines 31 - 36)</v>
      </c>
      <c r="E56" s="19">
        <f>SUM(E50:E55)</f>
        <v>-208139132.99421319</v>
      </c>
      <c r="F56" s="19">
        <f>SUM(F50:F55)</f>
        <v>-213981861.0115464</v>
      </c>
      <c r="G56" s="19">
        <f>SUM(G50:G55)</f>
        <v>-211060497.0028798</v>
      </c>
      <c r="H56" s="1"/>
      <c r="J56" s="1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</row>
    <row r="57" spans="1:36">
      <c r="A57" s="9">
        <f t="shared" si="3"/>
        <v>38</v>
      </c>
      <c r="B57" s="3"/>
      <c r="C57" s="3"/>
      <c r="D57" s="1"/>
      <c r="E57" s="19"/>
      <c r="F57" s="19"/>
      <c r="G57" s="19"/>
      <c r="H57" s="1"/>
      <c r="I57" s="1"/>
      <c r="J57" s="1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</row>
    <row r="58" spans="1:36">
      <c r="A58" s="9">
        <f t="shared" si="3"/>
        <v>39</v>
      </c>
      <c r="B58" s="3"/>
      <c r="C58" s="96" t="s">
        <v>230</v>
      </c>
      <c r="D58" s="1" t="s">
        <v>299</v>
      </c>
      <c r="E58" s="19"/>
      <c r="G58" s="19">
        <f>(+E58+F58)/2</f>
        <v>0</v>
      </c>
      <c r="H58" s="1"/>
      <c r="I58" s="1"/>
      <c r="J58" s="1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</row>
    <row r="59" spans="1:36">
      <c r="A59" s="9">
        <f t="shared" si="3"/>
        <v>40</v>
      </c>
      <c r="B59" s="3"/>
      <c r="C59" s="97"/>
      <c r="D59" s="1"/>
      <c r="E59" s="19"/>
      <c r="G59" s="19"/>
      <c r="H59" s="1"/>
      <c r="I59" s="1"/>
      <c r="J59" s="1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</row>
    <row r="60" spans="1:36">
      <c r="A60" s="9">
        <f t="shared" si="3"/>
        <v>41</v>
      </c>
      <c r="B60" s="3"/>
      <c r="C60" s="97" t="s">
        <v>414</v>
      </c>
      <c r="D60" s="1"/>
      <c r="E60" s="19"/>
      <c r="F60" s="19"/>
      <c r="G60" s="19"/>
      <c r="H60" s="1"/>
      <c r="I60" s="1"/>
      <c r="J60" s="1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</row>
    <row r="61" spans="1:36">
      <c r="A61" s="9">
        <f t="shared" si="3"/>
        <v>42</v>
      </c>
      <c r="B61" s="3"/>
      <c r="C61" s="97"/>
      <c r="D61" s="3"/>
      <c r="E61" s="19"/>
      <c r="F61" s="19"/>
      <c r="G61" s="19"/>
      <c r="H61" s="1"/>
      <c r="I61" s="1"/>
      <c r="J61" s="1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</row>
    <row r="62" spans="1:36">
      <c r="A62" s="9">
        <f t="shared" si="3"/>
        <v>43</v>
      </c>
      <c r="B62" s="3"/>
      <c r="C62" s="97" t="s">
        <v>358</v>
      </c>
      <c r="D62" s="1" t="s">
        <v>134</v>
      </c>
      <c r="E62" s="47">
        <v>6109676</v>
      </c>
      <c r="F62" s="47">
        <v>6594612</v>
      </c>
      <c r="G62" s="19">
        <f>(+E62+F62)/2</f>
        <v>6352144</v>
      </c>
      <c r="H62" s="97"/>
      <c r="J62" s="1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</row>
    <row r="63" spans="1:36">
      <c r="A63" s="9">
        <f t="shared" si="3"/>
        <v>44</v>
      </c>
      <c r="B63" s="3"/>
      <c r="C63" s="97" t="s">
        <v>358</v>
      </c>
      <c r="D63" s="1" t="s">
        <v>133</v>
      </c>
      <c r="E63" s="47">
        <v>20816</v>
      </c>
      <c r="F63" s="47">
        <v>21348.083873841406</v>
      </c>
      <c r="G63" s="19">
        <f>(+E63+F63)/2</f>
        <v>21082.041936920701</v>
      </c>
      <c r="H63" s="97"/>
      <c r="J63" s="1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</row>
    <row r="64" spans="1:36">
      <c r="A64" s="9">
        <f t="shared" si="3"/>
        <v>45</v>
      </c>
      <c r="B64" s="3"/>
      <c r="C64" s="97" t="s">
        <v>274</v>
      </c>
      <c r="D64" s="1" t="s">
        <v>74</v>
      </c>
      <c r="E64" s="47">
        <v>3140099</v>
      </c>
      <c r="F64" s="47">
        <v>4525712</v>
      </c>
      <c r="G64" s="19">
        <f>(+E64+F64)/2</f>
        <v>3832905.5</v>
      </c>
      <c r="H64" s="97"/>
      <c r="J64" s="1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</row>
    <row r="65" spans="1:36">
      <c r="A65" s="9">
        <f t="shared" si="3"/>
        <v>46</v>
      </c>
      <c r="B65" s="3"/>
      <c r="C65" s="97" t="s">
        <v>9</v>
      </c>
      <c r="D65" s="1" t="str">
        <f>"(sum lines "&amp;A61&amp;" - "&amp;A64&amp;")"</f>
        <v>(sum lines 42 - 45)</v>
      </c>
      <c r="E65" s="49">
        <f>SUM(E62:E64)</f>
        <v>9270591</v>
      </c>
      <c r="F65" s="49">
        <f>SUM(F62:F64)</f>
        <v>11141672.083873842</v>
      </c>
      <c r="G65" s="49">
        <f>SUM(G62:G64)</f>
        <v>10206131.541936921</v>
      </c>
      <c r="H65" s="75"/>
      <c r="I65" s="75"/>
      <c r="J65" s="1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</row>
    <row r="66" spans="1:36">
      <c r="R66" s="93"/>
    </row>
    <row r="67" spans="1:36">
      <c r="R67" s="93"/>
    </row>
    <row r="68" spans="1:36">
      <c r="C68" s="288" t="s">
        <v>41</v>
      </c>
      <c r="D68" s="289" t="s">
        <v>449</v>
      </c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93"/>
    </row>
    <row r="69" spans="1:36">
      <c r="C69" s="288" t="s">
        <v>213</v>
      </c>
      <c r="D69" s="289"/>
      <c r="E69" s="19">
        <v>667225434.91999996</v>
      </c>
      <c r="F69" s="19">
        <v>667187368.68999994</v>
      </c>
      <c r="G69" s="19">
        <v>667780619.74999988</v>
      </c>
      <c r="H69" s="19">
        <v>667790649.75</v>
      </c>
      <c r="I69" s="19">
        <v>666199617.81999981</v>
      </c>
      <c r="J69" s="19">
        <v>666545026.88</v>
      </c>
      <c r="K69" s="19">
        <v>665954406.24000001</v>
      </c>
      <c r="L69" s="19">
        <v>669388590.11000013</v>
      </c>
      <c r="M69" s="19">
        <v>678356815.65000021</v>
      </c>
      <c r="N69" s="19">
        <v>677078741.22000003</v>
      </c>
      <c r="O69" s="19">
        <v>678938320.78999996</v>
      </c>
      <c r="P69" s="19">
        <v>679927412.15000021</v>
      </c>
      <c r="Q69" s="19">
        <v>696607944.44000006</v>
      </c>
      <c r="R69" s="93"/>
      <c r="T69" s="19"/>
    </row>
    <row r="70" spans="1:36">
      <c r="C70" s="288" t="s">
        <v>215</v>
      </c>
      <c r="D70" s="289"/>
      <c r="E70" s="19">
        <v>241684400.19999996</v>
      </c>
      <c r="F70" s="19">
        <v>242345926.87999997</v>
      </c>
      <c r="G70" s="19">
        <v>241895006.59999999</v>
      </c>
      <c r="H70" s="19">
        <v>241955155.38</v>
      </c>
      <c r="I70" s="19">
        <v>244534297.96000001</v>
      </c>
      <c r="J70" s="19">
        <v>251270240.08999994</v>
      </c>
      <c r="K70" s="19">
        <v>251493967.94999996</v>
      </c>
      <c r="L70" s="19">
        <v>250822548.66999999</v>
      </c>
      <c r="M70" s="19">
        <v>251203046.85999998</v>
      </c>
      <c r="N70" s="19">
        <v>251039102.45999998</v>
      </c>
      <c r="O70" s="19">
        <v>251077620.72999999</v>
      </c>
      <c r="P70" s="19">
        <v>250876319.92000002</v>
      </c>
      <c r="Q70" s="19">
        <v>255072038.59</v>
      </c>
      <c r="R70" s="93"/>
      <c r="T70" s="19"/>
    </row>
    <row r="71" spans="1:36">
      <c r="C71" s="288" t="s">
        <v>216</v>
      </c>
      <c r="D71" s="289"/>
      <c r="E71" s="19">
        <v>479058686.26000005</v>
      </c>
      <c r="F71" s="19">
        <v>478289489.88000005</v>
      </c>
      <c r="G71" s="19">
        <v>481250309.71999997</v>
      </c>
      <c r="H71" s="19">
        <v>482461908.82999998</v>
      </c>
      <c r="I71" s="19">
        <v>476781362.70999992</v>
      </c>
      <c r="J71" s="19">
        <v>477530099.96000004</v>
      </c>
      <c r="K71" s="19">
        <v>478414631.56000006</v>
      </c>
      <c r="L71" s="19">
        <v>481690545.76000005</v>
      </c>
      <c r="M71" s="19">
        <v>484033775.84999996</v>
      </c>
      <c r="N71" s="19">
        <v>488701916.25</v>
      </c>
      <c r="O71" s="19">
        <v>489142805.96000016</v>
      </c>
      <c r="P71" s="19">
        <v>489929946.55000007</v>
      </c>
      <c r="Q71" s="19">
        <v>493632659.54000002</v>
      </c>
      <c r="R71" s="93"/>
    </row>
    <row r="72" spans="1:36">
      <c r="C72" s="288" t="s">
        <v>217</v>
      </c>
      <c r="D72" s="289"/>
      <c r="E72" s="19">
        <v>136018877</v>
      </c>
      <c r="F72" s="19">
        <v>136700064.98999998</v>
      </c>
      <c r="G72" s="19">
        <v>136872902.56999996</v>
      </c>
      <c r="H72" s="19">
        <v>137555133.44999999</v>
      </c>
      <c r="I72" s="19">
        <v>137831979.58999997</v>
      </c>
      <c r="J72" s="19">
        <v>137386359.27999997</v>
      </c>
      <c r="K72" s="19">
        <v>137627452.48999998</v>
      </c>
      <c r="L72" s="19">
        <v>137494837.06999999</v>
      </c>
      <c r="M72" s="19">
        <v>137550995.69999999</v>
      </c>
      <c r="N72" s="19">
        <v>136285359.32999998</v>
      </c>
      <c r="O72" s="19">
        <v>137727925.95999998</v>
      </c>
      <c r="P72" s="19">
        <v>137277812.66</v>
      </c>
      <c r="Q72" s="19">
        <v>136999824.86000001</v>
      </c>
      <c r="R72" s="93"/>
    </row>
    <row r="73" spans="1:36">
      <c r="C73" s="288" t="s">
        <v>137</v>
      </c>
      <c r="D73" s="289"/>
      <c r="E73" s="19">
        <v>26026522</v>
      </c>
      <c r="F73" s="19">
        <v>26072004</v>
      </c>
      <c r="G73" s="19">
        <v>26061063</v>
      </c>
      <c r="H73" s="19">
        <v>26147598</v>
      </c>
      <c r="I73" s="19">
        <v>26236762</v>
      </c>
      <c r="J73" s="19">
        <v>26325390</v>
      </c>
      <c r="K73" s="19">
        <v>26179960</v>
      </c>
      <c r="L73" s="19">
        <v>26240786</v>
      </c>
      <c r="M73" s="19">
        <v>27104882</v>
      </c>
      <c r="N73" s="19">
        <v>27680482</v>
      </c>
      <c r="O73" s="19">
        <v>27672790</v>
      </c>
      <c r="P73" s="19">
        <v>28095926</v>
      </c>
      <c r="Q73" s="19">
        <v>28423892.336431999</v>
      </c>
      <c r="R73" s="93"/>
    </row>
    <row r="74" spans="1:36">
      <c r="C74" s="288" t="s">
        <v>102</v>
      </c>
      <c r="D74" s="289"/>
      <c r="E74" s="19">
        <v>7278054.459999999</v>
      </c>
      <c r="F74" s="19">
        <v>7278065.7999999989</v>
      </c>
      <c r="G74" s="19">
        <v>7278065.7999999989</v>
      </c>
      <c r="H74" s="19">
        <v>7280146.5899999999</v>
      </c>
      <c r="I74" s="19">
        <v>7243998.7400000002</v>
      </c>
      <c r="J74" s="19">
        <v>7244011.5600000005</v>
      </c>
      <c r="K74" s="19">
        <v>7241851.9899999993</v>
      </c>
      <c r="L74" s="19">
        <v>7236390.0899999999</v>
      </c>
      <c r="M74" s="19">
        <v>7236507.1799999997</v>
      </c>
      <c r="N74" s="19">
        <v>6835477.0899999999</v>
      </c>
      <c r="O74" s="19">
        <v>7044722.7100000009</v>
      </c>
      <c r="P74" s="19">
        <v>6859094.9199999999</v>
      </c>
      <c r="Q74" s="19">
        <v>6862228.2400000002</v>
      </c>
      <c r="R74" s="93"/>
    </row>
    <row r="75" spans="1:36">
      <c r="C75" s="288" t="s">
        <v>219</v>
      </c>
      <c r="D75" s="289"/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93"/>
    </row>
    <row r="76" spans="1:36">
      <c r="C76" s="290" t="s">
        <v>5</v>
      </c>
      <c r="D76" s="289"/>
      <c r="E76" s="49">
        <f>SUM(E69:E75)</f>
        <v>1557291974.8399999</v>
      </c>
      <c r="F76" s="49">
        <f>SUM(F69:F75)</f>
        <v>1557872920.24</v>
      </c>
      <c r="G76" s="49">
        <f t="shared" ref="G76:Q76" si="15">SUM(G69:G75)</f>
        <v>1561137967.4399998</v>
      </c>
      <c r="H76" s="49">
        <f t="shared" si="15"/>
        <v>1563190592</v>
      </c>
      <c r="I76" s="49">
        <f t="shared" si="15"/>
        <v>1558828018.8199997</v>
      </c>
      <c r="J76" s="49">
        <f t="shared" si="15"/>
        <v>1566301127.7699997</v>
      </c>
      <c r="K76" s="49">
        <f t="shared" si="15"/>
        <v>1566912270.23</v>
      </c>
      <c r="L76" s="49">
        <f t="shared" si="15"/>
        <v>1572873697.7</v>
      </c>
      <c r="M76" s="49">
        <f t="shared" si="15"/>
        <v>1585486023.2400002</v>
      </c>
      <c r="N76" s="49">
        <f t="shared" si="15"/>
        <v>1587621078.3499999</v>
      </c>
      <c r="O76" s="49">
        <f t="shared" si="15"/>
        <v>1591604186.1500001</v>
      </c>
      <c r="P76" s="49">
        <f t="shared" si="15"/>
        <v>1592966512.2000005</v>
      </c>
      <c r="Q76" s="49">
        <f t="shared" si="15"/>
        <v>1617598588.0064323</v>
      </c>
      <c r="R76" s="93"/>
    </row>
    <row r="77" spans="1:36"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93"/>
    </row>
    <row r="78" spans="1:36">
      <c r="C78" s="288" t="s">
        <v>42</v>
      </c>
      <c r="D78" s="289" t="s">
        <v>449</v>
      </c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93"/>
    </row>
    <row r="79" spans="1:36">
      <c r="C79" s="288" t="s">
        <v>213</v>
      </c>
      <c r="D79" s="289"/>
      <c r="E79" s="19">
        <f>223310169.51+5039.13</f>
        <v>223315208.63999999</v>
      </c>
      <c r="F79" s="19">
        <v>224925263.09999996</v>
      </c>
      <c r="G79" s="19">
        <v>226510788.28999996</v>
      </c>
      <c r="H79" s="19">
        <v>228133432.55000001</v>
      </c>
      <c r="I79" s="19">
        <v>229734264.63000003</v>
      </c>
      <c r="J79" s="19">
        <v>231095248.59999996</v>
      </c>
      <c r="K79" s="19">
        <v>232065496.01000002</v>
      </c>
      <c r="L79" s="19">
        <v>233283663.04999998</v>
      </c>
      <c r="M79" s="19">
        <v>234900186.52999997</v>
      </c>
      <c r="N79" s="19">
        <v>235789107.88999999</v>
      </c>
      <c r="O79" s="19">
        <v>236722165.92999998</v>
      </c>
      <c r="P79" s="19">
        <v>237458662.78999996</v>
      </c>
      <c r="Q79" s="19">
        <v>238968080.10999998</v>
      </c>
      <c r="R79" s="93"/>
    </row>
    <row r="80" spans="1:36">
      <c r="C80" s="288" t="s">
        <v>215</v>
      </c>
      <c r="D80" s="289"/>
      <c r="E80" s="19">
        <f>43374099.99</f>
        <v>43374099.990000002</v>
      </c>
      <c r="F80" s="19">
        <v>43823920.860000007</v>
      </c>
      <c r="G80" s="19">
        <v>44273928.039999999</v>
      </c>
      <c r="H80" s="19">
        <v>44723607.600000001</v>
      </c>
      <c r="I80" s="19">
        <v>45177677.090000011</v>
      </c>
      <c r="J80" s="19">
        <v>45643095.000000015</v>
      </c>
      <c r="K80" s="19">
        <v>46115782.460000001</v>
      </c>
      <c r="L80" s="19">
        <v>46214964.770000003</v>
      </c>
      <c r="M80" s="19">
        <v>46687060.950000003</v>
      </c>
      <c r="N80" s="19">
        <v>46866678.520000011</v>
      </c>
      <c r="O80" s="19">
        <v>47207627.399999999</v>
      </c>
      <c r="P80" s="19">
        <v>47640711.780000001</v>
      </c>
      <c r="Q80" s="19">
        <v>47022735.769999996</v>
      </c>
      <c r="R80" s="93"/>
    </row>
    <row r="81" spans="2:18">
      <c r="C81" s="288" t="s">
        <v>216</v>
      </c>
      <c r="D81" s="289"/>
      <c r="E81" s="19">
        <v>160883934.03</v>
      </c>
      <c r="F81" s="19">
        <v>159837399.94</v>
      </c>
      <c r="G81" s="19">
        <v>160804683.55000001</v>
      </c>
      <c r="H81" s="19">
        <v>161559133.77000001</v>
      </c>
      <c r="I81" s="19">
        <v>162045554.07000005</v>
      </c>
      <c r="J81" s="19">
        <v>162822735.15999997</v>
      </c>
      <c r="K81" s="19">
        <v>163149508.69</v>
      </c>
      <c r="L81" s="19">
        <v>163452236.81</v>
      </c>
      <c r="M81" s="19">
        <v>164037046.40000001</v>
      </c>
      <c r="N81" s="19">
        <v>164616951.5</v>
      </c>
      <c r="O81" s="19">
        <v>165233126.28</v>
      </c>
      <c r="P81" s="19">
        <v>166042322.38</v>
      </c>
      <c r="Q81" s="19">
        <v>166241653.84</v>
      </c>
      <c r="R81" s="93"/>
    </row>
    <row r="82" spans="2:18">
      <c r="C82" s="288" t="s">
        <v>217</v>
      </c>
      <c r="D82" s="289"/>
      <c r="E82" s="19">
        <f>25537040.52+2471919.9806091</f>
        <v>28008960.5006091</v>
      </c>
      <c r="F82" s="19">
        <v>25931114.869999997</v>
      </c>
      <c r="G82" s="19">
        <v>26346746.120000001</v>
      </c>
      <c r="H82" s="19">
        <v>26364697.170000002</v>
      </c>
      <c r="I82" s="19">
        <v>26725441.299999997</v>
      </c>
      <c r="J82" s="19">
        <v>26590326.910000004</v>
      </c>
      <c r="K82" s="19">
        <v>26788455.310000002</v>
      </c>
      <c r="L82" s="19">
        <v>27173650.139999997</v>
      </c>
      <c r="M82" s="19">
        <v>27574683.07</v>
      </c>
      <c r="N82" s="19">
        <v>26649597.059999995</v>
      </c>
      <c r="O82" s="19">
        <v>27014356.920000002</v>
      </c>
      <c r="P82" s="19">
        <v>27336183.909999996</v>
      </c>
      <c r="Q82" s="19">
        <v>27676179.98</v>
      </c>
      <c r="R82" s="93"/>
    </row>
    <row r="83" spans="2:18">
      <c r="C83" s="288" t="str">
        <f>+C73</f>
        <v xml:space="preserve">  Allocated Plant</v>
      </c>
      <c r="D83" s="289"/>
      <c r="E83" s="19">
        <v>1972780.0256639854</v>
      </c>
      <c r="F83" s="19">
        <v>2324408.9676350257</v>
      </c>
      <c r="G83" s="19">
        <v>2502715.8733330867</v>
      </c>
      <c r="H83" s="19">
        <v>2598880.6068096831</v>
      </c>
      <c r="I83" s="19">
        <v>2916777.5280511742</v>
      </c>
      <c r="J83" s="19">
        <v>3171390.1560424143</v>
      </c>
      <c r="K83" s="19">
        <v>3261327.0438377452</v>
      </c>
      <c r="L83" s="19">
        <v>3661984.7730747461</v>
      </c>
      <c r="M83" s="19">
        <v>3987205.4693551031</v>
      </c>
      <c r="N83" s="19">
        <v>4307335.6956398217</v>
      </c>
      <c r="O83" s="19">
        <v>4515031.8736785194</v>
      </c>
      <c r="P83" s="19">
        <v>4622590.1072250269</v>
      </c>
      <c r="Q83" s="19">
        <v>4090055.7169254255</v>
      </c>
      <c r="R83" s="93"/>
    </row>
    <row r="84" spans="2:18">
      <c r="C84" s="288" t="s">
        <v>102</v>
      </c>
      <c r="D84" s="289"/>
      <c r="E84" s="19">
        <v>3226526.26</v>
      </c>
      <c r="F84" s="19">
        <v>3260171.1399999997</v>
      </c>
      <c r="G84" s="19">
        <v>3293816.0500000003</v>
      </c>
      <c r="H84" s="19">
        <v>3327465.48</v>
      </c>
      <c r="I84" s="19">
        <v>3318363.68</v>
      </c>
      <c r="J84" s="19">
        <v>3351849.79</v>
      </c>
      <c r="K84" s="19">
        <v>3383160.8</v>
      </c>
      <c r="L84" s="19">
        <v>3414847.29</v>
      </c>
      <c r="M84" s="19">
        <v>3448283.79</v>
      </c>
      <c r="N84" s="19">
        <v>2512187.37</v>
      </c>
      <c r="O84" s="19">
        <v>2545004.2699999996</v>
      </c>
      <c r="P84" s="19">
        <v>2577072.2200000002</v>
      </c>
      <c r="Q84" s="19">
        <v>2608759.98</v>
      </c>
      <c r="R84" s="93"/>
    </row>
    <row r="85" spans="2:18">
      <c r="C85" s="288" t="str">
        <f>+C75</f>
        <v xml:space="preserve">  Common</v>
      </c>
      <c r="D85" s="289"/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93"/>
    </row>
    <row r="86" spans="2:18">
      <c r="C86" s="288" t="s">
        <v>7</v>
      </c>
      <c r="D86" s="289"/>
      <c r="E86" s="19">
        <v>0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>
        <v>0</v>
      </c>
      <c r="R86" s="93"/>
    </row>
    <row r="87" spans="2:18">
      <c r="C87" s="289"/>
      <c r="D87" s="289"/>
      <c r="E87" s="49">
        <f>SUM(E79:E86)</f>
        <v>460781509.44627303</v>
      </c>
      <c r="F87" s="49">
        <f>SUM(F79:F86)</f>
        <v>460102278.877635</v>
      </c>
      <c r="G87" s="49">
        <f t="shared" ref="G87:N87" si="16">SUM(G79:G86)</f>
        <v>463732677.92333311</v>
      </c>
      <c r="H87" s="49">
        <f t="shared" si="16"/>
        <v>466707217.17680979</v>
      </c>
      <c r="I87" s="49">
        <f t="shared" si="16"/>
        <v>469918078.2980513</v>
      </c>
      <c r="J87" s="49">
        <f t="shared" si="16"/>
        <v>472674645.61604238</v>
      </c>
      <c r="K87" s="49">
        <f t="shared" si="16"/>
        <v>474763730.31383777</v>
      </c>
      <c r="L87" s="49">
        <f t="shared" si="16"/>
        <v>477201346.83307475</v>
      </c>
      <c r="M87" s="49">
        <f t="shared" si="16"/>
        <v>480634466.20935512</v>
      </c>
      <c r="N87" s="49">
        <f t="shared" si="16"/>
        <v>480741858.03563982</v>
      </c>
      <c r="O87" s="49">
        <f>SUM(O79:O86)</f>
        <v>483237312.67367852</v>
      </c>
      <c r="P87" s="49">
        <f>SUM(P79:P86)</f>
        <v>485677543.18722492</v>
      </c>
      <c r="Q87" s="49">
        <f>SUM(Q79:Q86)</f>
        <v>486607465.39692551</v>
      </c>
      <c r="R87" s="93"/>
    </row>
    <row r="88" spans="2:18">
      <c r="B88" s="293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6"/>
    </row>
    <row r="89" spans="2:18">
      <c r="B89" s="297"/>
      <c r="C89" s="298" t="s">
        <v>41</v>
      </c>
      <c r="D89" s="299" t="s">
        <v>450</v>
      </c>
      <c r="E89" s="299"/>
      <c r="F89" s="299"/>
      <c r="G89" s="299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300"/>
    </row>
    <row r="90" spans="2:18">
      <c r="B90" s="297"/>
      <c r="C90" s="298" t="s">
        <v>213</v>
      </c>
      <c r="D90" s="299"/>
      <c r="E90" s="299"/>
      <c r="F90" s="299"/>
      <c r="G90" s="299"/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300"/>
    </row>
    <row r="91" spans="2:18">
      <c r="B91" s="297"/>
      <c r="C91" s="298" t="s">
        <v>215</v>
      </c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300"/>
    </row>
    <row r="92" spans="2:18">
      <c r="B92" s="297"/>
      <c r="C92" s="298" t="s">
        <v>216</v>
      </c>
      <c r="D92" s="299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300"/>
    </row>
    <row r="93" spans="2:18">
      <c r="B93" s="297"/>
      <c r="C93" s="298" t="s">
        <v>217</v>
      </c>
      <c r="D93" s="299"/>
      <c r="E93" s="299">
        <v>75529745.49000001</v>
      </c>
      <c r="F93" s="311">
        <v>75529745.49000001</v>
      </c>
      <c r="G93" s="311">
        <v>75529745.49000001</v>
      </c>
      <c r="H93" s="311">
        <v>75489460.840000004</v>
      </c>
      <c r="I93" s="311">
        <v>75510666.810000017</v>
      </c>
      <c r="J93" s="311">
        <v>75492698.329999998</v>
      </c>
      <c r="K93" s="311">
        <v>75492698.329999998</v>
      </c>
      <c r="L93" s="311">
        <v>75492698.329999998</v>
      </c>
      <c r="M93" s="311">
        <v>75492698.329999998</v>
      </c>
      <c r="N93" s="311">
        <v>75492698.329999998</v>
      </c>
      <c r="O93" s="311">
        <v>75492698.329999998</v>
      </c>
      <c r="P93" s="311">
        <v>75524171.850000009</v>
      </c>
      <c r="Q93" s="299">
        <v>75546228.610000014</v>
      </c>
      <c r="R93" s="300"/>
    </row>
    <row r="94" spans="2:18">
      <c r="B94" s="297"/>
      <c r="C94" s="298" t="s">
        <v>137</v>
      </c>
      <c r="D94" s="299"/>
      <c r="E94" s="299"/>
      <c r="F94" s="299"/>
      <c r="G94" s="299"/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300"/>
    </row>
    <row r="95" spans="2:18">
      <c r="B95" s="297"/>
      <c r="C95" s="298" t="s">
        <v>102</v>
      </c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300"/>
    </row>
    <row r="96" spans="2:18">
      <c r="B96" s="297"/>
      <c r="C96" s="298" t="s">
        <v>219</v>
      </c>
      <c r="D96" s="299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300"/>
    </row>
    <row r="97" spans="2:18">
      <c r="B97" s="297"/>
      <c r="C97" s="302" t="s">
        <v>5</v>
      </c>
      <c r="D97" s="299"/>
      <c r="E97" s="291">
        <f>SUM(E90:E96)</f>
        <v>75529745.49000001</v>
      </c>
      <c r="F97" s="291">
        <f t="shared" ref="F97:Q97" si="17">SUM(F90:F96)</f>
        <v>75529745.49000001</v>
      </c>
      <c r="G97" s="291">
        <f t="shared" si="17"/>
        <v>75529745.49000001</v>
      </c>
      <c r="H97" s="291">
        <f t="shared" si="17"/>
        <v>75489460.840000004</v>
      </c>
      <c r="I97" s="291">
        <f t="shared" si="17"/>
        <v>75510666.810000017</v>
      </c>
      <c r="J97" s="291">
        <f t="shared" si="17"/>
        <v>75492698.329999998</v>
      </c>
      <c r="K97" s="291">
        <f t="shared" si="17"/>
        <v>75492698.329999998</v>
      </c>
      <c r="L97" s="291">
        <f t="shared" si="17"/>
        <v>75492698.329999998</v>
      </c>
      <c r="M97" s="291">
        <f t="shared" si="17"/>
        <v>75492698.329999998</v>
      </c>
      <c r="N97" s="291">
        <f t="shared" si="17"/>
        <v>75492698.329999998</v>
      </c>
      <c r="O97" s="291">
        <f t="shared" si="17"/>
        <v>75492698.329999998</v>
      </c>
      <c r="P97" s="291">
        <f t="shared" si="17"/>
        <v>75524171.850000009</v>
      </c>
      <c r="Q97" s="291">
        <f t="shared" si="17"/>
        <v>75546228.610000014</v>
      </c>
      <c r="R97" s="300"/>
    </row>
    <row r="98" spans="2:18">
      <c r="B98" s="297"/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300"/>
    </row>
    <row r="99" spans="2:18">
      <c r="B99" s="297"/>
      <c r="C99" s="298" t="s">
        <v>42</v>
      </c>
      <c r="D99" s="299" t="s">
        <v>450</v>
      </c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300"/>
    </row>
    <row r="100" spans="2:18">
      <c r="B100" s="297"/>
      <c r="C100" s="298" t="s">
        <v>213</v>
      </c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300"/>
    </row>
    <row r="101" spans="2:18">
      <c r="B101" s="297"/>
      <c r="C101" s="298" t="s">
        <v>215</v>
      </c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300"/>
    </row>
    <row r="102" spans="2:18">
      <c r="B102" s="297"/>
      <c r="C102" s="298" t="s">
        <v>216</v>
      </c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300"/>
    </row>
    <row r="103" spans="2:18">
      <c r="B103" s="297"/>
      <c r="C103" s="298" t="s">
        <v>217</v>
      </c>
      <c r="D103" s="299"/>
      <c r="E103" s="299">
        <v>7812925.4287499785</v>
      </c>
      <c r="F103" s="311">
        <v>8043570.7247401373</v>
      </c>
      <c r="G103" s="311">
        <v>8287866.5529368054</v>
      </c>
      <c r="H103" s="311">
        <v>8517844.1683962364</v>
      </c>
      <c r="I103" s="311">
        <v>8752018.7642095815</v>
      </c>
      <c r="J103" s="311">
        <v>9052799.0794167351</v>
      </c>
      <c r="K103" s="311">
        <v>9283029.1392260455</v>
      </c>
      <c r="L103" s="311">
        <v>9513047.1596242525</v>
      </c>
      <c r="M103" s="311">
        <v>9742486.9081237856</v>
      </c>
      <c r="N103" s="311">
        <v>9971761.0289225802</v>
      </c>
      <c r="O103" s="311">
        <v>10185177.336356733</v>
      </c>
      <c r="P103" s="311">
        <v>10413237.698641879</v>
      </c>
      <c r="Q103" s="299">
        <v>10644024.921569485</v>
      </c>
      <c r="R103" s="300"/>
    </row>
    <row r="104" spans="2:18">
      <c r="B104" s="297"/>
      <c r="C104" s="298" t="s">
        <v>137</v>
      </c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300"/>
    </row>
    <row r="105" spans="2:18">
      <c r="B105" s="297"/>
      <c r="C105" s="298" t="s">
        <v>102</v>
      </c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300"/>
    </row>
    <row r="106" spans="2:18">
      <c r="B106" s="297"/>
      <c r="C106" s="298" t="str">
        <f>+C96</f>
        <v xml:space="preserve">  Common</v>
      </c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300"/>
    </row>
    <row r="107" spans="2:18">
      <c r="B107" s="297"/>
      <c r="C107" s="298" t="s">
        <v>7</v>
      </c>
      <c r="D107" s="299"/>
      <c r="E107" s="291">
        <f>SUM(E100:E106)</f>
        <v>7812925.4287499785</v>
      </c>
      <c r="F107" s="291">
        <f t="shared" ref="F107:Q107" si="18">SUM(F100:F106)</f>
        <v>8043570.7247401373</v>
      </c>
      <c r="G107" s="291">
        <f t="shared" si="18"/>
        <v>8287866.5529368054</v>
      </c>
      <c r="H107" s="291">
        <f t="shared" si="18"/>
        <v>8517844.1683962364</v>
      </c>
      <c r="I107" s="291">
        <f t="shared" si="18"/>
        <v>8752018.7642095815</v>
      </c>
      <c r="J107" s="291">
        <f t="shared" si="18"/>
        <v>9052799.0794167351</v>
      </c>
      <c r="K107" s="291">
        <f t="shared" si="18"/>
        <v>9283029.1392260455</v>
      </c>
      <c r="L107" s="291">
        <f t="shared" si="18"/>
        <v>9513047.1596242525</v>
      </c>
      <c r="M107" s="291">
        <f t="shared" si="18"/>
        <v>9742486.9081237856</v>
      </c>
      <c r="N107" s="291">
        <f t="shared" si="18"/>
        <v>9971761.0289225802</v>
      </c>
      <c r="O107" s="291">
        <f t="shared" si="18"/>
        <v>10185177.336356733</v>
      </c>
      <c r="P107" s="291">
        <f t="shared" si="18"/>
        <v>10413237.698641879</v>
      </c>
      <c r="Q107" s="291">
        <f t="shared" si="18"/>
        <v>10644024.921569485</v>
      </c>
      <c r="R107" s="300"/>
    </row>
    <row r="108" spans="2:18">
      <c r="B108" s="304"/>
      <c r="C108" s="312"/>
      <c r="D108" s="309" t="s">
        <v>448</v>
      </c>
      <c r="E108" s="313">
        <v>622000</v>
      </c>
      <c r="F108" s="309"/>
      <c r="G108" s="309"/>
      <c r="H108" s="309"/>
      <c r="I108" s="309"/>
      <c r="J108" s="309"/>
      <c r="K108" s="309"/>
      <c r="L108" s="309"/>
      <c r="M108" s="309"/>
      <c r="N108" s="309"/>
      <c r="O108" s="309"/>
      <c r="Q108" s="314">
        <v>593444.1</v>
      </c>
      <c r="R108" s="310"/>
    </row>
    <row r="109" spans="2:18">
      <c r="B109" s="293"/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6"/>
    </row>
    <row r="110" spans="2:18">
      <c r="B110" s="297"/>
      <c r="C110" s="298" t="s">
        <v>41</v>
      </c>
      <c r="D110" s="299" t="s">
        <v>451</v>
      </c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300"/>
    </row>
    <row r="111" spans="2:18">
      <c r="B111" s="297"/>
      <c r="C111" s="298" t="s">
        <v>213</v>
      </c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300"/>
    </row>
    <row r="112" spans="2:18">
      <c r="B112" s="297"/>
      <c r="C112" s="298" t="s">
        <v>215</v>
      </c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300"/>
    </row>
    <row r="113" spans="2:18">
      <c r="B113" s="297"/>
      <c r="C113" s="298" t="s">
        <v>216</v>
      </c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300"/>
    </row>
    <row r="114" spans="2:18">
      <c r="B114" s="297"/>
      <c r="C114" s="298" t="s">
        <v>217</v>
      </c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300"/>
    </row>
    <row r="115" spans="2:18">
      <c r="B115" s="297"/>
      <c r="C115" s="298" t="s">
        <v>137</v>
      </c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300"/>
    </row>
    <row r="116" spans="2:18">
      <c r="B116" s="297"/>
      <c r="C116" s="298" t="s">
        <v>102</v>
      </c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300"/>
    </row>
    <row r="117" spans="2:18">
      <c r="B117" s="297"/>
      <c r="C117" s="298" t="s">
        <v>219</v>
      </c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300"/>
    </row>
    <row r="118" spans="2:18">
      <c r="B118" s="297"/>
      <c r="C118" s="302" t="s">
        <v>5</v>
      </c>
      <c r="D118" s="299"/>
      <c r="E118" s="291">
        <f>SUM(E111:E117)</f>
        <v>0</v>
      </c>
      <c r="F118" s="291">
        <f t="shared" ref="F118:Q118" si="19">SUM(F111:F117)</f>
        <v>0</v>
      </c>
      <c r="G118" s="291">
        <f t="shared" si="19"/>
        <v>0</v>
      </c>
      <c r="H118" s="291">
        <f t="shared" si="19"/>
        <v>0</v>
      </c>
      <c r="I118" s="291">
        <f t="shared" si="19"/>
        <v>0</v>
      </c>
      <c r="J118" s="291">
        <f t="shared" si="19"/>
        <v>0</v>
      </c>
      <c r="K118" s="291">
        <f t="shared" si="19"/>
        <v>0</v>
      </c>
      <c r="L118" s="291">
        <f t="shared" si="19"/>
        <v>0</v>
      </c>
      <c r="M118" s="291">
        <f t="shared" si="19"/>
        <v>0</v>
      </c>
      <c r="N118" s="291">
        <f t="shared" si="19"/>
        <v>0</v>
      </c>
      <c r="O118" s="291">
        <f t="shared" si="19"/>
        <v>0</v>
      </c>
      <c r="P118" s="291">
        <f t="shared" si="19"/>
        <v>0</v>
      </c>
      <c r="Q118" s="291">
        <f t="shared" si="19"/>
        <v>0</v>
      </c>
      <c r="R118" s="300"/>
    </row>
    <row r="119" spans="2:18">
      <c r="B119" s="297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300"/>
    </row>
    <row r="120" spans="2:18">
      <c r="B120" s="297"/>
      <c r="C120" s="298" t="s">
        <v>42</v>
      </c>
      <c r="D120" s="299" t="s">
        <v>451</v>
      </c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300"/>
    </row>
    <row r="121" spans="2:18">
      <c r="B121" s="297"/>
      <c r="C121" s="298" t="s">
        <v>213</v>
      </c>
      <c r="D121" s="299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300"/>
    </row>
    <row r="122" spans="2:18">
      <c r="B122" s="297"/>
      <c r="C122" s="298" t="s">
        <v>215</v>
      </c>
      <c r="D122" s="299"/>
      <c r="E122" s="299">
        <v>1731516.9179009984</v>
      </c>
      <c r="F122" s="299">
        <v>1743634.2142449985</v>
      </c>
      <c r="G122" s="299">
        <v>1755728.9645749985</v>
      </c>
      <c r="H122" s="299">
        <v>1767826.7223439985</v>
      </c>
      <c r="I122" s="299">
        <v>1780053.4372419985</v>
      </c>
      <c r="J122" s="299">
        <v>1792616.9492464985</v>
      </c>
      <c r="K122" s="299">
        <v>1805191.6476439985</v>
      </c>
      <c r="L122" s="299">
        <v>1817732.7750774985</v>
      </c>
      <c r="M122" s="299">
        <v>1830292.9274204986</v>
      </c>
      <c r="N122" s="299">
        <v>1842844.8825434987</v>
      </c>
      <c r="O122" s="299">
        <v>1855398.7635799986</v>
      </c>
      <c r="P122" s="299">
        <v>1867942.5795759987</v>
      </c>
      <c r="Q122" s="299">
        <v>1880696.1815054987</v>
      </c>
      <c r="R122" s="300"/>
    </row>
    <row r="123" spans="2:18">
      <c r="B123" s="297"/>
      <c r="C123" s="298" t="s">
        <v>216</v>
      </c>
      <c r="D123" s="299"/>
      <c r="E123" s="299"/>
      <c r="F123" s="29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300"/>
    </row>
    <row r="124" spans="2:18">
      <c r="B124" s="297"/>
      <c r="C124" s="298" t="s">
        <v>217</v>
      </c>
      <c r="D124" s="299"/>
      <c r="E124" s="299">
        <v>9227760.5735348295</v>
      </c>
      <c r="F124" s="299">
        <v>9325123.3320723288</v>
      </c>
      <c r="G124" s="299">
        <v>9422761.1904246621</v>
      </c>
      <c r="H124" s="299">
        <v>9521549.0526622459</v>
      </c>
      <c r="I124" s="299">
        <v>9620743.8088370785</v>
      </c>
      <c r="J124" s="299">
        <v>9719257.8858491611</v>
      </c>
      <c r="K124" s="299">
        <v>9818141.8787687439</v>
      </c>
      <c r="L124" s="299">
        <v>9916828.6162632443</v>
      </c>
      <c r="M124" s="299">
        <v>10015604.739577161</v>
      </c>
      <c r="N124" s="299">
        <v>10112366.391668828</v>
      </c>
      <c r="O124" s="299">
        <v>10211424.128979912</v>
      </c>
      <c r="P124" s="299">
        <v>10309715.340602495</v>
      </c>
      <c r="Q124" s="299">
        <v>10407528.981300412</v>
      </c>
      <c r="R124" s="300"/>
    </row>
    <row r="125" spans="2:18">
      <c r="B125" s="297"/>
      <c r="C125" s="298" t="s">
        <v>137</v>
      </c>
      <c r="D125" s="299"/>
      <c r="E125" s="299"/>
      <c r="F125" s="299"/>
      <c r="G125" s="299"/>
      <c r="H125" s="299"/>
      <c r="I125" s="299"/>
      <c r="J125" s="299"/>
      <c r="K125" s="299"/>
      <c r="L125" s="299"/>
      <c r="M125" s="299"/>
      <c r="N125" s="299"/>
      <c r="O125" s="299"/>
      <c r="P125" s="299"/>
      <c r="Q125" s="299"/>
      <c r="R125" s="300"/>
    </row>
    <row r="126" spans="2:18">
      <c r="B126" s="297"/>
      <c r="C126" s="298" t="s">
        <v>102</v>
      </c>
      <c r="D126" s="299"/>
      <c r="E126" s="299">
        <v>1674358.9092780014</v>
      </c>
      <c r="F126" s="299">
        <v>1685943.1640096682</v>
      </c>
      <c r="G126" s="299">
        <v>1697527.4187413349</v>
      </c>
      <c r="H126" s="299">
        <v>1709114.9853970848</v>
      </c>
      <c r="I126" s="299">
        <v>1720645.0167249183</v>
      </c>
      <c r="J126" s="299">
        <v>1732175.0684579182</v>
      </c>
      <c r="K126" s="299">
        <v>1743701.682875335</v>
      </c>
      <c r="L126" s="299">
        <v>1755219.603768585</v>
      </c>
      <c r="M126" s="299">
        <v>1766737.7110300851</v>
      </c>
      <c r="N126" s="299">
        <v>1777617.5120650018</v>
      </c>
      <c r="O126" s="299">
        <v>1788830.3623784184</v>
      </c>
      <c r="P126" s="299">
        <v>1799747.7551260851</v>
      </c>
      <c r="Q126" s="299">
        <v>1810670.1350747517</v>
      </c>
      <c r="R126" s="300"/>
    </row>
    <row r="127" spans="2:18">
      <c r="B127" s="297"/>
      <c r="C127" s="298" t="s">
        <v>219</v>
      </c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  <c r="R127" s="300"/>
    </row>
    <row r="128" spans="2:18">
      <c r="B128" s="297"/>
      <c r="C128" s="298" t="s">
        <v>7</v>
      </c>
      <c r="D128" s="299"/>
      <c r="E128" s="291">
        <f>SUM(E121:E127)</f>
        <v>12633636.400713829</v>
      </c>
      <c r="F128" s="291">
        <f t="shared" ref="F128:Q128" si="20">SUM(F121:F127)</f>
        <v>12754700.710326996</v>
      </c>
      <c r="G128" s="291">
        <f t="shared" si="20"/>
        <v>12876017.573740995</v>
      </c>
      <c r="H128" s="291">
        <f t="shared" si="20"/>
        <v>12998490.76040333</v>
      </c>
      <c r="I128" s="291">
        <f t="shared" si="20"/>
        <v>13121442.262803994</v>
      </c>
      <c r="J128" s="291">
        <f t="shared" si="20"/>
        <v>13244049.903553577</v>
      </c>
      <c r="K128" s="291">
        <f t="shared" si="20"/>
        <v>13367035.209288077</v>
      </c>
      <c r="L128" s="291">
        <f t="shared" si="20"/>
        <v>13489780.995109329</v>
      </c>
      <c r="M128" s="291">
        <f t="shared" si="20"/>
        <v>13612635.378027745</v>
      </c>
      <c r="N128" s="291">
        <f t="shared" si="20"/>
        <v>13732828.786277328</v>
      </c>
      <c r="O128" s="291">
        <f t="shared" si="20"/>
        <v>13855653.254938329</v>
      </c>
      <c r="P128" s="291">
        <f t="shared" si="20"/>
        <v>13977405.675304579</v>
      </c>
      <c r="Q128" s="291">
        <f t="shared" si="20"/>
        <v>14098895.297880663</v>
      </c>
      <c r="R128" s="300"/>
    </row>
    <row r="129" spans="2:18">
      <c r="B129" s="297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300"/>
    </row>
    <row r="130" spans="2:18">
      <c r="B130" s="297"/>
      <c r="C130" s="298" t="s">
        <v>452</v>
      </c>
      <c r="D130" s="299"/>
      <c r="E130" s="299">
        <v>1811165.58</v>
      </c>
      <c r="F130" s="301">
        <v>1763209</v>
      </c>
      <c r="G130" s="301">
        <v>1898423</v>
      </c>
      <c r="H130" s="301">
        <v>2183393</v>
      </c>
      <c r="I130" s="301">
        <v>2347243</v>
      </c>
      <c r="J130" s="301">
        <v>2461281</v>
      </c>
      <c r="K130" s="301">
        <v>2613950</v>
      </c>
      <c r="L130" s="301">
        <v>2584090</v>
      </c>
      <c r="M130" s="301">
        <v>3005698</v>
      </c>
      <c r="N130" s="301">
        <v>2934471</v>
      </c>
      <c r="O130" s="301">
        <v>3253344</v>
      </c>
      <c r="P130" s="301">
        <v>3319075</v>
      </c>
      <c r="Q130" s="299">
        <v>3125778.34</v>
      </c>
      <c r="R130" s="300"/>
    </row>
    <row r="131" spans="2:18">
      <c r="B131" s="304"/>
      <c r="C131" s="309"/>
      <c r="D131" s="309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10"/>
    </row>
    <row r="132" spans="2:18">
      <c r="B132" s="293"/>
      <c r="C132" s="294" t="s">
        <v>41</v>
      </c>
      <c r="D132" s="295" t="s">
        <v>453</v>
      </c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6"/>
    </row>
    <row r="133" spans="2:18">
      <c r="B133" s="297"/>
      <c r="C133" s="298" t="s">
        <v>213</v>
      </c>
      <c r="D133" s="29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300"/>
    </row>
    <row r="134" spans="2:18">
      <c r="B134" s="297"/>
      <c r="C134" s="298" t="s">
        <v>215</v>
      </c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300"/>
    </row>
    <row r="135" spans="2:18">
      <c r="B135" s="297"/>
      <c r="C135" s="298" t="s">
        <v>216</v>
      </c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300"/>
    </row>
    <row r="136" spans="2:18">
      <c r="B136" s="297"/>
      <c r="C136" s="298" t="s">
        <v>217</v>
      </c>
      <c r="D136" s="299"/>
      <c r="E136" s="299"/>
      <c r="F136" s="299"/>
      <c r="G136" s="299"/>
      <c r="H136" s="299"/>
      <c r="I136" s="299"/>
      <c r="J136" s="299"/>
      <c r="K136" s="299"/>
      <c r="L136" s="299"/>
      <c r="M136" s="299"/>
      <c r="N136" s="299"/>
      <c r="O136" s="299"/>
      <c r="P136" s="299"/>
      <c r="Q136" s="299"/>
      <c r="R136" s="300"/>
    </row>
    <row r="137" spans="2:18">
      <c r="B137" s="297"/>
      <c r="C137" s="298" t="s">
        <v>137</v>
      </c>
      <c r="D137" s="299"/>
      <c r="E137" s="299"/>
      <c r="F137" s="299"/>
      <c r="G137" s="299"/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  <c r="R137" s="300"/>
    </row>
    <row r="138" spans="2:18">
      <c r="B138" s="297"/>
      <c r="C138" s="298" t="s">
        <v>102</v>
      </c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299"/>
      <c r="O138" s="299"/>
      <c r="P138" s="299"/>
      <c r="Q138" s="299"/>
      <c r="R138" s="300"/>
    </row>
    <row r="139" spans="2:18">
      <c r="B139" s="297"/>
      <c r="C139" s="298" t="s">
        <v>219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300"/>
    </row>
    <row r="140" spans="2:18">
      <c r="B140" s="297"/>
      <c r="C140" s="302" t="s">
        <v>5</v>
      </c>
      <c r="D140" s="299"/>
      <c r="E140" s="291">
        <f t="shared" ref="E140:Q140" si="21">SUM(E133:E139)</f>
        <v>0</v>
      </c>
      <c r="F140" s="291">
        <f t="shared" si="21"/>
        <v>0</v>
      </c>
      <c r="G140" s="291">
        <f t="shared" si="21"/>
        <v>0</v>
      </c>
      <c r="H140" s="291">
        <f t="shared" si="21"/>
        <v>0</v>
      </c>
      <c r="I140" s="291">
        <f t="shared" si="21"/>
        <v>0</v>
      </c>
      <c r="J140" s="291">
        <f t="shared" si="21"/>
        <v>0</v>
      </c>
      <c r="K140" s="291">
        <f t="shared" si="21"/>
        <v>0</v>
      </c>
      <c r="L140" s="291">
        <f t="shared" si="21"/>
        <v>0</v>
      </c>
      <c r="M140" s="291">
        <f t="shared" si="21"/>
        <v>0</v>
      </c>
      <c r="N140" s="291">
        <f t="shared" si="21"/>
        <v>0</v>
      </c>
      <c r="O140" s="291">
        <f t="shared" si="21"/>
        <v>0</v>
      </c>
      <c r="P140" s="291">
        <f t="shared" si="21"/>
        <v>0</v>
      </c>
      <c r="Q140" s="291">
        <f t="shared" si="21"/>
        <v>0</v>
      </c>
      <c r="R140" s="300"/>
    </row>
    <row r="141" spans="2:18">
      <c r="B141" s="297"/>
      <c r="C141" s="299"/>
      <c r="D141" s="299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300"/>
    </row>
    <row r="142" spans="2:18">
      <c r="B142" s="297"/>
      <c r="C142" s="298" t="s">
        <v>42</v>
      </c>
      <c r="D142" s="299" t="s">
        <v>453</v>
      </c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9"/>
      <c r="R142" s="300"/>
    </row>
    <row r="143" spans="2:18">
      <c r="B143" s="297"/>
      <c r="C143" s="298" t="s">
        <v>213</v>
      </c>
      <c r="D143" s="299"/>
      <c r="E143" s="307">
        <v>891344.65054984589</v>
      </c>
      <c r="F143" s="307">
        <v>866337.74652160064</v>
      </c>
      <c r="G143" s="307">
        <v>932318.63846531871</v>
      </c>
      <c r="H143" s="307">
        <v>1073251.438181211</v>
      </c>
      <c r="I143" s="307">
        <v>1154690.8833525795</v>
      </c>
      <c r="J143" s="307">
        <v>1211472.6318823479</v>
      </c>
      <c r="K143" s="307">
        <v>1286541.9117449825</v>
      </c>
      <c r="L143" s="307">
        <v>1273021.9051452226</v>
      </c>
      <c r="M143" s="307">
        <v>1481261.047754087</v>
      </c>
      <c r="N143" s="307">
        <v>1452279.9393728673</v>
      </c>
      <c r="O143" s="307">
        <v>1608737.8195733435</v>
      </c>
      <c r="P143" s="307">
        <v>1638363.9876350055</v>
      </c>
      <c r="Q143" s="307">
        <v>1548050.3579230411</v>
      </c>
      <c r="R143" s="308"/>
    </row>
    <row r="144" spans="2:18">
      <c r="B144" s="297"/>
      <c r="C144" s="298" t="s">
        <v>215</v>
      </c>
      <c r="D144" s="299"/>
      <c r="E144" s="307">
        <v>173993.49733973594</v>
      </c>
      <c r="F144" s="307">
        <v>168795.25366927704</v>
      </c>
      <c r="G144" s="307">
        <v>182231.53352376822</v>
      </c>
      <c r="H144" s="307">
        <v>210401.76199002331</v>
      </c>
      <c r="I144" s="307">
        <v>227072.14333432759</v>
      </c>
      <c r="J144" s="307">
        <v>239275.19393795991</v>
      </c>
      <c r="K144" s="307">
        <v>255660.09573929737</v>
      </c>
      <c r="L144" s="307">
        <v>252193.66726556871</v>
      </c>
      <c r="M144" s="307">
        <v>294404.72500656691</v>
      </c>
      <c r="N144" s="307">
        <v>288662.77008599642</v>
      </c>
      <c r="O144" s="307">
        <v>320817.84683046571</v>
      </c>
      <c r="P144" s="307">
        <v>328700.69092690013</v>
      </c>
      <c r="Q144" s="307">
        <v>304616.26048868656</v>
      </c>
      <c r="R144" s="308"/>
    </row>
    <row r="145" spans="2:18">
      <c r="B145" s="297"/>
      <c r="C145" s="298" t="s">
        <v>216</v>
      </c>
      <c r="D145" s="299"/>
      <c r="E145" s="307">
        <v>628995.97246494086</v>
      </c>
      <c r="F145" s="307">
        <v>615640.81760049937</v>
      </c>
      <c r="G145" s="307">
        <v>661872.24351645238</v>
      </c>
      <c r="H145" s="307">
        <v>760053.31937466247</v>
      </c>
      <c r="I145" s="307">
        <v>814473.7323960003</v>
      </c>
      <c r="J145" s="307">
        <v>853567.04081785132</v>
      </c>
      <c r="K145" s="307">
        <v>904480.34894960176</v>
      </c>
      <c r="L145" s="307">
        <v>891953.92074890633</v>
      </c>
      <c r="M145" s="307">
        <v>1034403.9773247165</v>
      </c>
      <c r="N145" s="307">
        <v>1013914.0797618895</v>
      </c>
      <c r="O145" s="307">
        <v>1122906.1640622939</v>
      </c>
      <c r="P145" s="307">
        <v>1145621.5503548696</v>
      </c>
      <c r="Q145" s="307">
        <v>1076923.9624399571</v>
      </c>
      <c r="R145" s="308"/>
    </row>
    <row r="146" spans="2:18">
      <c r="B146" s="297"/>
      <c r="C146" s="298" t="s">
        <v>217</v>
      </c>
      <c r="D146" s="299"/>
      <c r="E146" s="307">
        <v>116831.87964547765</v>
      </c>
      <c r="F146" s="307">
        <v>112435.18220862283</v>
      </c>
      <c r="G146" s="307">
        <v>122000.58449446067</v>
      </c>
      <c r="H146" s="307">
        <v>139686.48045410274</v>
      </c>
      <c r="I146" s="307">
        <v>151006.24091709231</v>
      </c>
      <c r="J146" s="307">
        <v>156966.13336184068</v>
      </c>
      <c r="K146" s="307">
        <v>167267.64356611826</v>
      </c>
      <c r="L146" s="307">
        <v>166920.50684030243</v>
      </c>
      <c r="M146" s="307">
        <v>195628.24991462947</v>
      </c>
      <c r="N146" s="307">
        <v>179614.21077924679</v>
      </c>
      <c r="O146" s="307">
        <v>200882.16953389681</v>
      </c>
      <c r="P146" s="307">
        <v>206388.77108322518</v>
      </c>
      <c r="Q146" s="307">
        <v>196187.75914831454</v>
      </c>
      <c r="R146" s="308"/>
    </row>
    <row r="147" spans="2:18">
      <c r="B147" s="297"/>
      <c r="C147" s="298" t="s">
        <v>137</v>
      </c>
      <c r="D147" s="299"/>
      <c r="E147" s="315">
        <v>0</v>
      </c>
      <c r="F147" s="315">
        <v>0</v>
      </c>
      <c r="G147" s="315">
        <v>0</v>
      </c>
      <c r="H147" s="315">
        <v>0</v>
      </c>
      <c r="I147" s="315">
        <v>0</v>
      </c>
      <c r="J147" s="315">
        <v>0</v>
      </c>
      <c r="K147" s="315">
        <v>0</v>
      </c>
      <c r="L147" s="315">
        <v>0</v>
      </c>
      <c r="M147" s="315">
        <v>0</v>
      </c>
      <c r="N147" s="315">
        <v>0</v>
      </c>
      <c r="O147" s="315">
        <v>0</v>
      </c>
      <c r="P147" s="315">
        <v>0</v>
      </c>
      <c r="Q147" s="315">
        <v>0</v>
      </c>
      <c r="R147" s="300"/>
    </row>
    <row r="148" spans="2:18">
      <c r="B148" s="297"/>
      <c r="C148" s="298" t="s">
        <v>102</v>
      </c>
      <c r="D148" s="299"/>
      <c r="E148" s="315">
        <v>0</v>
      </c>
      <c r="F148" s="315">
        <v>0</v>
      </c>
      <c r="G148" s="315">
        <v>0</v>
      </c>
      <c r="H148" s="315">
        <v>0</v>
      </c>
      <c r="I148" s="315">
        <v>0</v>
      </c>
      <c r="J148" s="315">
        <v>0</v>
      </c>
      <c r="K148" s="315">
        <v>0</v>
      </c>
      <c r="L148" s="315">
        <v>0</v>
      </c>
      <c r="M148" s="315">
        <v>0</v>
      </c>
      <c r="N148" s="315">
        <v>0</v>
      </c>
      <c r="O148" s="315">
        <v>0</v>
      </c>
      <c r="P148" s="315">
        <v>0</v>
      </c>
      <c r="Q148" s="315">
        <v>0</v>
      </c>
      <c r="R148" s="300"/>
    </row>
    <row r="149" spans="2:18">
      <c r="B149" s="297"/>
      <c r="C149" s="298" t="s">
        <v>219</v>
      </c>
      <c r="D149" s="299"/>
      <c r="E149" s="315">
        <f t="shared" ref="E149:Q149" si="22">E$130*E85/$E$87</f>
        <v>0</v>
      </c>
      <c r="F149" s="315">
        <f t="shared" si="22"/>
        <v>0</v>
      </c>
      <c r="G149" s="315">
        <f t="shared" si="22"/>
        <v>0</v>
      </c>
      <c r="H149" s="315">
        <f t="shared" si="22"/>
        <v>0</v>
      </c>
      <c r="I149" s="315">
        <f t="shared" si="22"/>
        <v>0</v>
      </c>
      <c r="J149" s="315">
        <f t="shared" si="22"/>
        <v>0</v>
      </c>
      <c r="K149" s="315">
        <f t="shared" si="22"/>
        <v>0</v>
      </c>
      <c r="L149" s="315">
        <f t="shared" si="22"/>
        <v>0</v>
      </c>
      <c r="M149" s="315">
        <f t="shared" si="22"/>
        <v>0</v>
      </c>
      <c r="N149" s="315">
        <f t="shared" si="22"/>
        <v>0</v>
      </c>
      <c r="O149" s="315">
        <f t="shared" si="22"/>
        <v>0</v>
      </c>
      <c r="P149" s="315">
        <f t="shared" si="22"/>
        <v>0</v>
      </c>
      <c r="Q149" s="315">
        <f t="shared" si="22"/>
        <v>0</v>
      </c>
      <c r="R149" s="300"/>
    </row>
    <row r="150" spans="2:18">
      <c r="B150" s="297"/>
      <c r="C150" s="298" t="s">
        <v>7</v>
      </c>
      <c r="D150" s="299"/>
      <c r="E150" s="316">
        <f>SUM(E143:E149)</f>
        <v>1811166.0000000002</v>
      </c>
      <c r="F150" s="316">
        <f t="shared" ref="F150:Q150" si="23">SUM(F143:F149)</f>
        <v>1763209</v>
      </c>
      <c r="G150" s="316">
        <f t="shared" si="23"/>
        <v>1898423</v>
      </c>
      <c r="H150" s="316">
        <f t="shared" si="23"/>
        <v>2183392.9999999995</v>
      </c>
      <c r="I150" s="316">
        <f t="shared" si="23"/>
        <v>2347242.9999999995</v>
      </c>
      <c r="J150" s="316">
        <f t="shared" si="23"/>
        <v>2461280.9999999995</v>
      </c>
      <c r="K150" s="316">
        <f t="shared" si="23"/>
        <v>2613949.9999999995</v>
      </c>
      <c r="L150" s="316">
        <f t="shared" si="23"/>
        <v>2584090</v>
      </c>
      <c r="M150" s="316">
        <f t="shared" si="23"/>
        <v>3005698</v>
      </c>
      <c r="N150" s="316">
        <f t="shared" si="23"/>
        <v>2934471</v>
      </c>
      <c r="O150" s="316">
        <f t="shared" si="23"/>
        <v>3253343.9999999995</v>
      </c>
      <c r="P150" s="316">
        <f t="shared" si="23"/>
        <v>3319075.0000000005</v>
      </c>
      <c r="Q150" s="316">
        <f t="shared" si="23"/>
        <v>3125778.3399999994</v>
      </c>
      <c r="R150" s="300"/>
    </row>
    <row r="151" spans="2:18">
      <c r="B151" s="304"/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10"/>
    </row>
    <row r="152" spans="2:18">
      <c r="B152" s="293"/>
      <c r="C152" s="294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6"/>
    </row>
    <row r="153" spans="2:18">
      <c r="B153" s="297"/>
      <c r="C153" s="298" t="s">
        <v>41</v>
      </c>
      <c r="D153" s="298" t="s">
        <v>454</v>
      </c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300"/>
    </row>
    <row r="154" spans="2:18">
      <c r="B154" s="297"/>
      <c r="C154" s="298" t="s">
        <v>213</v>
      </c>
      <c r="D154" s="299"/>
      <c r="E154" s="301">
        <v>-3864487.9200000004</v>
      </c>
      <c r="F154" s="301"/>
      <c r="G154" s="301"/>
      <c r="H154" s="301">
        <v>-3954530.24</v>
      </c>
      <c r="I154" s="301"/>
      <c r="J154" s="301"/>
      <c r="K154" s="301">
        <v>-4825314.57</v>
      </c>
      <c r="L154" s="301"/>
      <c r="M154" s="301"/>
      <c r="N154" s="301">
        <v>-11124491.810000004</v>
      </c>
      <c r="O154" s="301"/>
      <c r="P154" s="301"/>
      <c r="Q154" s="301">
        <v>-11244543.070000002</v>
      </c>
      <c r="R154" s="300"/>
    </row>
    <row r="155" spans="2:18">
      <c r="B155" s="297"/>
      <c r="C155" s="298" t="s">
        <v>215</v>
      </c>
      <c r="D155" s="299"/>
      <c r="E155" s="301">
        <v>-537559.11</v>
      </c>
      <c r="F155" s="301"/>
      <c r="G155" s="301"/>
      <c r="H155" s="301">
        <v>-537559.11</v>
      </c>
      <c r="I155" s="301"/>
      <c r="J155" s="301"/>
      <c r="K155" s="301">
        <v>-715433.84999999986</v>
      </c>
      <c r="L155" s="301"/>
      <c r="M155" s="301"/>
      <c r="N155" s="301">
        <v>-306527.92000000004</v>
      </c>
      <c r="O155" s="301"/>
      <c r="P155" s="301"/>
      <c r="Q155" s="301">
        <v>-199436.02</v>
      </c>
      <c r="R155" s="300"/>
    </row>
    <row r="156" spans="2:18">
      <c r="B156" s="297"/>
      <c r="C156" s="298" t="s">
        <v>216</v>
      </c>
      <c r="D156" s="299"/>
      <c r="E156" s="301">
        <v>-6027505.240000003</v>
      </c>
      <c r="F156" s="301"/>
      <c r="G156" s="301"/>
      <c r="H156" s="301">
        <v>-5887719.6399999987</v>
      </c>
      <c r="I156" s="301"/>
      <c r="J156" s="301"/>
      <c r="K156" s="301">
        <v>-5858669.4500000011</v>
      </c>
      <c r="L156" s="301"/>
      <c r="M156" s="301"/>
      <c r="N156" s="301">
        <v>-5419996.589999998</v>
      </c>
      <c r="O156" s="301"/>
      <c r="P156" s="301"/>
      <c r="Q156" s="301">
        <v>-5939210.0299999993</v>
      </c>
      <c r="R156" s="300"/>
    </row>
    <row r="157" spans="2:18">
      <c r="B157" s="297"/>
      <c r="C157" s="298" t="s">
        <v>217</v>
      </c>
      <c r="D157" s="299"/>
      <c r="E157" s="301"/>
      <c r="F157" s="301"/>
      <c r="G157" s="301"/>
      <c r="H157" s="301"/>
      <c r="I157" s="301"/>
      <c r="J157" s="301"/>
      <c r="K157" s="301">
        <v>-8685.31</v>
      </c>
      <c r="L157" s="301"/>
      <c r="M157" s="301"/>
      <c r="N157" s="301"/>
      <c r="O157" s="301"/>
      <c r="P157" s="301"/>
      <c r="Q157" s="301"/>
      <c r="R157" s="300"/>
    </row>
    <row r="158" spans="2:18">
      <c r="B158" s="297"/>
      <c r="C158" s="298" t="s">
        <v>137</v>
      </c>
      <c r="D158" s="299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0"/>
    </row>
    <row r="159" spans="2:18">
      <c r="B159" s="297"/>
      <c r="C159" s="298" t="s">
        <v>102</v>
      </c>
      <c r="D159" s="299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0"/>
    </row>
    <row r="160" spans="2:18">
      <c r="B160" s="297"/>
      <c r="C160" s="298" t="s">
        <v>219</v>
      </c>
      <c r="D160" s="299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0"/>
    </row>
    <row r="161" spans="2:18">
      <c r="B161" s="297"/>
      <c r="C161" s="302" t="s">
        <v>5</v>
      </c>
      <c r="D161" s="299"/>
      <c r="E161" s="291">
        <f>SUM(E154:E160)</f>
        <v>-10429552.270000003</v>
      </c>
      <c r="F161" s="291">
        <f t="shared" ref="F161:Q161" si="24">SUM(F154:F160)</f>
        <v>0</v>
      </c>
      <c r="G161" s="291">
        <f t="shared" si="24"/>
        <v>0</v>
      </c>
      <c r="H161" s="291">
        <f t="shared" si="24"/>
        <v>-10379808.989999998</v>
      </c>
      <c r="I161" s="291">
        <f t="shared" si="24"/>
        <v>0</v>
      </c>
      <c r="J161" s="291">
        <f t="shared" si="24"/>
        <v>0</v>
      </c>
      <c r="K161" s="291">
        <f t="shared" si="24"/>
        <v>-11408103.180000002</v>
      </c>
      <c r="L161" s="291">
        <f t="shared" si="24"/>
        <v>0</v>
      </c>
      <c r="M161" s="291">
        <f t="shared" si="24"/>
        <v>0</v>
      </c>
      <c r="N161" s="291">
        <f t="shared" si="24"/>
        <v>-16851016.32</v>
      </c>
      <c r="O161" s="291">
        <f t="shared" si="24"/>
        <v>0</v>
      </c>
      <c r="P161" s="291">
        <f t="shared" si="24"/>
        <v>0</v>
      </c>
      <c r="Q161" s="291">
        <f t="shared" si="24"/>
        <v>-17383189.120000001</v>
      </c>
      <c r="R161" s="300"/>
    </row>
    <row r="162" spans="2:18">
      <c r="B162" s="297"/>
      <c r="C162" s="299"/>
      <c r="D162" s="299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0"/>
    </row>
    <row r="163" spans="2:18">
      <c r="B163" s="297"/>
      <c r="C163" s="298" t="s">
        <v>42</v>
      </c>
      <c r="D163" s="298" t="s">
        <v>454</v>
      </c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0"/>
    </row>
    <row r="164" spans="2:18">
      <c r="B164" s="297"/>
      <c r="C164" s="298" t="s">
        <v>213</v>
      </c>
      <c r="D164" s="299"/>
      <c r="E164" s="301">
        <v>-3864487.9200000004</v>
      </c>
      <c r="F164" s="301"/>
      <c r="G164" s="301"/>
      <c r="H164" s="301">
        <v>-3954530.24</v>
      </c>
      <c r="I164" s="301"/>
      <c r="J164" s="301"/>
      <c r="K164" s="301">
        <v>-4825314.57</v>
      </c>
      <c r="L164" s="301"/>
      <c r="M164" s="301"/>
      <c r="N164" s="301">
        <v>-11124491.810000004</v>
      </c>
      <c r="O164" s="301"/>
      <c r="P164" s="301"/>
      <c r="Q164" s="301">
        <v>-11244543.070000002</v>
      </c>
      <c r="R164" s="303"/>
    </row>
    <row r="165" spans="2:18">
      <c r="B165" s="297"/>
      <c r="C165" s="298" t="s">
        <v>215</v>
      </c>
      <c r="D165" s="299"/>
      <c r="E165" s="301">
        <v>-537559.11</v>
      </c>
      <c r="F165" s="301"/>
      <c r="G165" s="301"/>
      <c r="H165" s="301">
        <v>-537559.11</v>
      </c>
      <c r="I165" s="301"/>
      <c r="J165" s="301"/>
      <c r="K165" s="301">
        <v>-715433.84999999986</v>
      </c>
      <c r="L165" s="301"/>
      <c r="M165" s="301"/>
      <c r="N165" s="301">
        <v>-306527.92000000004</v>
      </c>
      <c r="O165" s="301"/>
      <c r="P165" s="301"/>
      <c r="Q165" s="301">
        <v>-199436.02</v>
      </c>
      <c r="R165" s="303"/>
    </row>
    <row r="166" spans="2:18">
      <c r="B166" s="297"/>
      <c r="C166" s="298" t="s">
        <v>216</v>
      </c>
      <c r="D166" s="299"/>
      <c r="E166" s="301">
        <v>-6027505.240000003</v>
      </c>
      <c r="F166" s="301"/>
      <c r="G166" s="301"/>
      <c r="H166" s="301">
        <v>-5887719.6399999987</v>
      </c>
      <c r="I166" s="301"/>
      <c r="J166" s="301"/>
      <c r="K166" s="301">
        <v>-5858669.4500000011</v>
      </c>
      <c r="L166" s="301"/>
      <c r="M166" s="301"/>
      <c r="N166" s="301">
        <v>-5419996.589999998</v>
      </c>
      <c r="O166" s="301"/>
      <c r="P166" s="301"/>
      <c r="Q166" s="301">
        <v>-5939210.0299999993</v>
      </c>
      <c r="R166" s="303"/>
    </row>
    <row r="167" spans="2:18">
      <c r="B167" s="297"/>
      <c r="C167" s="298" t="s">
        <v>217</v>
      </c>
      <c r="D167" s="299"/>
      <c r="E167" s="301"/>
      <c r="F167" s="301"/>
      <c r="G167" s="301"/>
      <c r="H167" s="301"/>
      <c r="I167" s="301"/>
      <c r="J167" s="301"/>
      <c r="K167" s="301">
        <v>-8685.31</v>
      </c>
      <c r="L167" s="301"/>
      <c r="M167" s="301"/>
      <c r="N167" s="301"/>
      <c r="O167" s="301"/>
      <c r="P167" s="301"/>
      <c r="Q167" s="301"/>
      <c r="R167" s="303"/>
    </row>
    <row r="168" spans="2:18">
      <c r="B168" s="297"/>
      <c r="C168" s="298" t="s">
        <v>137</v>
      </c>
      <c r="D168" s="299"/>
      <c r="E168" s="301"/>
      <c r="F168" s="301"/>
      <c r="G168" s="301"/>
      <c r="H168" s="301"/>
      <c r="I168" s="301"/>
      <c r="J168" s="301"/>
      <c r="K168" s="301"/>
      <c r="L168" s="301"/>
      <c r="M168" s="301"/>
      <c r="N168" s="301"/>
      <c r="O168" s="301"/>
      <c r="P168" s="301"/>
      <c r="Q168" s="301"/>
      <c r="R168" s="303"/>
    </row>
    <row r="169" spans="2:18">
      <c r="B169" s="297"/>
      <c r="C169" s="298" t="s">
        <v>102</v>
      </c>
      <c r="D169" s="299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  <c r="P169" s="301"/>
      <c r="Q169" s="301"/>
      <c r="R169" s="303"/>
    </row>
    <row r="170" spans="2:18">
      <c r="B170" s="297"/>
      <c r="C170" s="298" t="s">
        <v>219</v>
      </c>
      <c r="D170" s="299"/>
      <c r="E170" s="301"/>
      <c r="F170" s="301"/>
      <c r="G170" s="301"/>
      <c r="H170" s="301"/>
      <c r="I170" s="301"/>
      <c r="J170" s="301"/>
      <c r="K170" s="301"/>
      <c r="L170" s="301"/>
      <c r="M170" s="301"/>
      <c r="N170" s="301"/>
      <c r="O170" s="301"/>
      <c r="P170" s="301"/>
      <c r="Q170" s="301"/>
      <c r="R170" s="303"/>
    </row>
    <row r="171" spans="2:18">
      <c r="B171" s="297"/>
      <c r="C171" s="298" t="s">
        <v>7</v>
      </c>
      <c r="D171" s="299"/>
      <c r="E171" s="291">
        <f>SUM(E164:E170)</f>
        <v>-10429552.270000003</v>
      </c>
      <c r="F171" s="291">
        <f t="shared" ref="F171:Q171" si="25">SUM(F164:F170)</f>
        <v>0</v>
      </c>
      <c r="G171" s="291">
        <f t="shared" si="25"/>
        <v>0</v>
      </c>
      <c r="H171" s="291">
        <f t="shared" si="25"/>
        <v>-10379808.989999998</v>
      </c>
      <c r="I171" s="291">
        <f t="shared" si="25"/>
        <v>0</v>
      </c>
      <c r="J171" s="291">
        <f t="shared" si="25"/>
        <v>0</v>
      </c>
      <c r="K171" s="291">
        <f t="shared" si="25"/>
        <v>-11408103.180000002</v>
      </c>
      <c r="L171" s="291">
        <f t="shared" si="25"/>
        <v>0</v>
      </c>
      <c r="M171" s="291">
        <f t="shared" si="25"/>
        <v>0</v>
      </c>
      <c r="N171" s="291">
        <f t="shared" si="25"/>
        <v>-16851016.32</v>
      </c>
      <c r="O171" s="291">
        <f t="shared" si="25"/>
        <v>0</v>
      </c>
      <c r="P171" s="291">
        <f t="shared" si="25"/>
        <v>0</v>
      </c>
      <c r="Q171" s="291">
        <f t="shared" si="25"/>
        <v>-17383189.120000001</v>
      </c>
      <c r="R171" s="303"/>
    </row>
    <row r="172" spans="2:18">
      <c r="B172" s="304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M172" s="305"/>
      <c r="N172" s="305"/>
      <c r="O172" s="305"/>
      <c r="P172" s="305"/>
      <c r="Q172" s="305"/>
      <c r="R172" s="306"/>
    </row>
  </sheetData>
  <mergeCells count="6">
    <mergeCell ref="A4:I4"/>
    <mergeCell ref="A5:I5"/>
    <mergeCell ref="A7:I7"/>
    <mergeCell ref="J4:R4"/>
    <mergeCell ref="J5:R5"/>
    <mergeCell ref="J7:R7"/>
  </mergeCells>
  <phoneticPr fontId="21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7" tint="0.59999389629810485"/>
    <pageSetUpPr fitToPage="1"/>
  </sheetPr>
  <dimension ref="A1:Y206"/>
  <sheetViews>
    <sheetView zoomScaleNormal="100" workbookViewId="0">
      <selection activeCell="J24" sqref="J24"/>
    </sheetView>
  </sheetViews>
  <sheetFormatPr defaultColWidth="7.109375" defaultRowHeight="12.75"/>
  <cols>
    <col min="1" max="1" width="4.88671875" style="30" customWidth="1"/>
    <col min="2" max="2" width="15.6640625" style="30" customWidth="1"/>
    <col min="3" max="3" width="7.109375" style="30" customWidth="1"/>
    <col min="4" max="4" width="8.88671875" style="30" customWidth="1"/>
    <col min="5" max="5" width="7.88671875" style="30" customWidth="1"/>
    <col min="6" max="6" width="7.6640625" style="30" customWidth="1"/>
    <col min="7" max="7" width="10.33203125" style="30" customWidth="1"/>
    <col min="8" max="8" width="13" style="30" customWidth="1"/>
    <col min="9" max="9" width="11.88671875" style="30" customWidth="1"/>
    <col min="10" max="10" width="11.109375" style="30" customWidth="1"/>
    <col min="11" max="11" width="8" style="30" customWidth="1"/>
    <col min="12" max="16384" width="7.109375" style="30"/>
  </cols>
  <sheetData>
    <row r="1" spans="1:12">
      <c r="K1" s="153"/>
    </row>
    <row r="2" spans="1:12">
      <c r="B2" s="99"/>
      <c r="C2" s="8"/>
      <c r="D2" s="8"/>
      <c r="E2" s="8"/>
      <c r="F2" s="8"/>
      <c r="G2" s="8"/>
      <c r="H2" s="8"/>
      <c r="J2" s="82" t="str">
        <f>+'CU AC Rate Design - True-Up'!H1</f>
        <v>Date: May 31, 2022</v>
      </c>
    </row>
    <row r="3" spans="1:12" ht="15" customHeight="1">
      <c r="A3" s="317" t="s">
        <v>360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2" ht="15" customHeight="1">
      <c r="A4" s="317" t="s">
        <v>77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2">
      <c r="B5" s="99"/>
      <c r="C5" s="8"/>
      <c r="D5" s="101"/>
      <c r="E5" s="8"/>
      <c r="G5" s="8"/>
      <c r="H5" s="8"/>
      <c r="I5" s="8"/>
      <c r="J5" s="8"/>
    </row>
    <row r="6" spans="1:12" ht="18.75">
      <c r="A6" s="154" t="s">
        <v>196</v>
      </c>
      <c r="B6" s="99"/>
      <c r="C6" s="8"/>
      <c r="D6" s="324" t="s">
        <v>456</v>
      </c>
      <c r="E6" s="325"/>
      <c r="F6" s="325"/>
      <c r="G6" s="325"/>
      <c r="H6" s="326"/>
      <c r="I6" s="8"/>
      <c r="J6" s="8"/>
    </row>
    <row r="7" spans="1:12" ht="13.5" thickBot="1">
      <c r="A7" s="155" t="s">
        <v>197</v>
      </c>
    </row>
    <row r="8" spans="1:12" ht="15">
      <c r="A8" s="56">
        <v>1</v>
      </c>
      <c r="B8" s="156"/>
      <c r="C8" s="11"/>
      <c r="D8" s="21" t="s">
        <v>69</v>
      </c>
      <c r="E8" s="10" t="s">
        <v>94</v>
      </c>
      <c r="F8" s="10" t="s">
        <v>95</v>
      </c>
      <c r="G8" s="11" t="s">
        <v>96</v>
      </c>
      <c r="H8" s="21" t="s">
        <v>139</v>
      </c>
      <c r="I8" s="21" t="s">
        <v>1</v>
      </c>
      <c r="J8" s="10" t="s">
        <v>326</v>
      </c>
      <c r="K8" s="76"/>
    </row>
    <row r="9" spans="1:12" ht="15">
      <c r="A9" s="56">
        <f>A8+1</f>
        <v>2</v>
      </c>
      <c r="B9" s="157"/>
      <c r="C9" s="13"/>
      <c r="D9" s="12" t="s">
        <v>326</v>
      </c>
      <c r="E9" s="12" t="s">
        <v>326</v>
      </c>
      <c r="F9" s="12" t="s">
        <v>97</v>
      </c>
      <c r="G9" s="13" t="s">
        <v>98</v>
      </c>
      <c r="H9" s="14" t="s">
        <v>140</v>
      </c>
      <c r="I9" s="14" t="s">
        <v>2</v>
      </c>
      <c r="J9" s="14" t="s">
        <v>109</v>
      </c>
      <c r="K9" s="76"/>
    </row>
    <row r="10" spans="1:12" ht="15.75" thickBot="1">
      <c r="A10" s="56">
        <f t="shared" ref="A10:A47" si="0">A9+1</f>
        <v>3</v>
      </c>
      <c r="B10" s="158"/>
      <c r="C10" s="16"/>
      <c r="D10" s="15" t="s">
        <v>99</v>
      </c>
      <c r="E10" s="12" t="s">
        <v>99</v>
      </c>
      <c r="F10" s="15" t="s">
        <v>99</v>
      </c>
      <c r="G10" s="16" t="s">
        <v>99</v>
      </c>
      <c r="H10" s="22" t="s">
        <v>99</v>
      </c>
      <c r="I10" s="22" t="s">
        <v>99</v>
      </c>
      <c r="J10" s="14" t="s">
        <v>110</v>
      </c>
      <c r="K10" s="76"/>
    </row>
    <row r="11" spans="1:12" ht="15">
      <c r="A11" s="56">
        <f t="shared" si="0"/>
        <v>4</v>
      </c>
      <c r="B11" s="23" t="s">
        <v>159</v>
      </c>
      <c r="C11" s="24"/>
      <c r="D11" s="156">
        <v>282</v>
      </c>
      <c r="E11" s="77">
        <v>279</v>
      </c>
      <c r="F11" s="273">
        <v>2</v>
      </c>
      <c r="G11" s="77">
        <v>50</v>
      </c>
      <c r="H11" s="11">
        <v>252</v>
      </c>
      <c r="I11" s="156">
        <v>92</v>
      </c>
      <c r="J11" s="77">
        <v>957</v>
      </c>
      <c r="K11" s="76"/>
      <c r="L11" s="287"/>
    </row>
    <row r="12" spans="1:12" ht="15">
      <c r="A12" s="56">
        <f t="shared" si="0"/>
        <v>5</v>
      </c>
      <c r="B12" s="23" t="s">
        <v>179</v>
      </c>
      <c r="C12" s="25"/>
      <c r="D12" s="157">
        <v>324</v>
      </c>
      <c r="E12" s="78">
        <v>310</v>
      </c>
      <c r="F12" s="274">
        <v>3</v>
      </c>
      <c r="G12" s="78">
        <v>61</v>
      </c>
      <c r="H12" s="13">
        <v>252</v>
      </c>
      <c r="I12" s="157">
        <v>91</v>
      </c>
      <c r="J12" s="78">
        <v>1041</v>
      </c>
      <c r="K12" s="76"/>
      <c r="L12" s="287"/>
    </row>
    <row r="13" spans="1:12" ht="15">
      <c r="A13" s="56">
        <f t="shared" si="0"/>
        <v>6</v>
      </c>
      <c r="B13" s="23" t="s">
        <v>180</v>
      </c>
      <c r="C13" s="25"/>
      <c r="D13" s="157">
        <v>290</v>
      </c>
      <c r="E13" s="78">
        <v>224</v>
      </c>
      <c r="F13" s="274">
        <v>2</v>
      </c>
      <c r="G13" s="78">
        <v>43</v>
      </c>
      <c r="H13" s="13">
        <v>252</v>
      </c>
      <c r="I13" s="157">
        <v>85</v>
      </c>
      <c r="J13" s="78">
        <v>896</v>
      </c>
      <c r="K13" s="76"/>
      <c r="L13" s="287"/>
    </row>
    <row r="14" spans="1:12" ht="15">
      <c r="A14" s="56">
        <f t="shared" si="0"/>
        <v>7</v>
      </c>
      <c r="B14" s="23" t="s">
        <v>190</v>
      </c>
      <c r="C14" s="25"/>
      <c r="D14" s="157">
        <v>247</v>
      </c>
      <c r="E14" s="78">
        <v>256</v>
      </c>
      <c r="F14" s="274">
        <v>2</v>
      </c>
      <c r="G14" s="78">
        <v>44</v>
      </c>
      <c r="H14" s="13">
        <v>192</v>
      </c>
      <c r="I14" s="157">
        <v>177</v>
      </c>
      <c r="J14" s="78">
        <v>918</v>
      </c>
      <c r="K14" s="76"/>
      <c r="L14" s="287"/>
    </row>
    <row r="15" spans="1:12" ht="15">
      <c r="A15" s="56">
        <f t="shared" si="0"/>
        <v>8</v>
      </c>
      <c r="B15" s="23" t="s">
        <v>191</v>
      </c>
      <c r="C15" s="25"/>
      <c r="D15" s="157">
        <v>226</v>
      </c>
      <c r="E15" s="78">
        <v>240</v>
      </c>
      <c r="F15" s="274">
        <v>2</v>
      </c>
      <c r="G15" s="78">
        <v>39</v>
      </c>
      <c r="H15" s="13">
        <v>192</v>
      </c>
      <c r="I15" s="157">
        <v>179</v>
      </c>
      <c r="J15" s="78">
        <v>878</v>
      </c>
      <c r="K15" s="76"/>
      <c r="L15" s="287"/>
    </row>
    <row r="16" spans="1:12" ht="15">
      <c r="A16" s="56">
        <f t="shared" si="0"/>
        <v>9</v>
      </c>
      <c r="B16" s="23" t="s">
        <v>192</v>
      </c>
      <c r="C16" s="25"/>
      <c r="D16" s="157">
        <v>359</v>
      </c>
      <c r="E16" s="78">
        <v>251</v>
      </c>
      <c r="F16" s="274">
        <v>3</v>
      </c>
      <c r="G16" s="78">
        <v>75</v>
      </c>
      <c r="H16" s="13">
        <v>192</v>
      </c>
      <c r="I16" s="157">
        <v>169</v>
      </c>
      <c r="J16" s="78">
        <v>1049</v>
      </c>
      <c r="K16" s="76"/>
      <c r="L16" s="287"/>
    </row>
    <row r="17" spans="1:25" ht="15">
      <c r="A17" s="56">
        <f t="shared" si="0"/>
        <v>10</v>
      </c>
      <c r="B17" s="23" t="s">
        <v>181</v>
      </c>
      <c r="C17" s="25"/>
      <c r="D17" s="157">
        <v>356</v>
      </c>
      <c r="E17" s="78">
        <v>251</v>
      </c>
      <c r="F17" s="274">
        <v>2</v>
      </c>
      <c r="G17" s="78">
        <v>68</v>
      </c>
      <c r="H17" s="13">
        <v>192</v>
      </c>
      <c r="I17" s="157">
        <v>171</v>
      </c>
      <c r="J17" s="78">
        <v>1040</v>
      </c>
      <c r="K17" s="76"/>
      <c r="L17" s="287"/>
    </row>
    <row r="18" spans="1:25" ht="15">
      <c r="A18" s="56">
        <f t="shared" si="0"/>
        <v>11</v>
      </c>
      <c r="B18" s="23" t="s">
        <v>156</v>
      </c>
      <c r="C18" s="25"/>
      <c r="D18" s="157">
        <v>339</v>
      </c>
      <c r="E18" s="78">
        <v>259</v>
      </c>
      <c r="F18" s="274">
        <v>2</v>
      </c>
      <c r="G18" s="78">
        <v>63</v>
      </c>
      <c r="H18" s="13">
        <v>192</v>
      </c>
      <c r="I18" s="157">
        <v>168</v>
      </c>
      <c r="J18" s="78">
        <v>1023</v>
      </c>
      <c r="K18" s="76"/>
      <c r="L18" s="287"/>
    </row>
    <row r="19" spans="1:25" ht="15">
      <c r="A19" s="56">
        <f t="shared" si="0"/>
        <v>12</v>
      </c>
      <c r="B19" s="23" t="s">
        <v>182</v>
      </c>
      <c r="C19" s="25"/>
      <c r="D19" s="157">
        <v>322</v>
      </c>
      <c r="E19" s="78">
        <v>243</v>
      </c>
      <c r="F19" s="274">
        <v>3</v>
      </c>
      <c r="G19" s="78">
        <v>64</v>
      </c>
      <c r="H19" s="13">
        <v>192</v>
      </c>
      <c r="I19" s="157">
        <v>163</v>
      </c>
      <c r="J19" s="78">
        <v>987</v>
      </c>
      <c r="K19" s="76"/>
      <c r="L19" s="287"/>
    </row>
    <row r="20" spans="1:25" ht="15">
      <c r="A20" s="56">
        <f t="shared" si="0"/>
        <v>13</v>
      </c>
      <c r="B20" s="23" t="s">
        <v>157</v>
      </c>
      <c r="C20" s="25"/>
      <c r="D20" s="157">
        <v>277</v>
      </c>
      <c r="E20" s="78">
        <v>235</v>
      </c>
      <c r="F20" s="274">
        <v>3</v>
      </c>
      <c r="G20" s="78">
        <v>50</v>
      </c>
      <c r="H20" s="13">
        <v>192</v>
      </c>
      <c r="I20" s="157">
        <v>89</v>
      </c>
      <c r="J20" s="78">
        <v>846</v>
      </c>
      <c r="K20" s="76"/>
      <c r="L20" s="287"/>
    </row>
    <row r="21" spans="1:25" ht="15">
      <c r="A21" s="56">
        <f t="shared" si="0"/>
        <v>14</v>
      </c>
      <c r="B21" s="23" t="s">
        <v>158</v>
      </c>
      <c r="C21" s="25"/>
      <c r="D21" s="157">
        <v>279</v>
      </c>
      <c r="E21" s="78">
        <v>275</v>
      </c>
      <c r="F21" s="274">
        <v>2</v>
      </c>
      <c r="G21" s="78">
        <v>45</v>
      </c>
      <c r="H21" s="13">
        <v>192</v>
      </c>
      <c r="I21" s="157">
        <v>91</v>
      </c>
      <c r="J21" s="78">
        <v>884</v>
      </c>
      <c r="K21" s="76"/>
      <c r="L21" s="287"/>
    </row>
    <row r="22" spans="1:25" ht="15.75" thickBot="1">
      <c r="A22" s="56">
        <f t="shared" si="0"/>
        <v>15</v>
      </c>
      <c r="B22" s="26" t="s">
        <v>183</v>
      </c>
      <c r="C22" s="27"/>
      <c r="D22" s="158">
        <v>287</v>
      </c>
      <c r="E22" s="79">
        <v>336</v>
      </c>
      <c r="F22" s="275">
        <v>1</v>
      </c>
      <c r="G22" s="79">
        <v>55</v>
      </c>
      <c r="H22" s="275">
        <v>192</v>
      </c>
      <c r="I22" s="158">
        <v>174</v>
      </c>
      <c r="J22" s="79">
        <v>1045</v>
      </c>
      <c r="K22" s="76"/>
      <c r="L22" s="287"/>
    </row>
    <row r="23" spans="1:25" ht="15.75" thickBot="1">
      <c r="A23" s="56">
        <f t="shared" si="0"/>
        <v>16</v>
      </c>
      <c r="B23" s="159"/>
      <c r="C23" s="25"/>
      <c r="D23" s="17"/>
      <c r="E23" s="17"/>
      <c r="F23" s="17"/>
      <c r="G23" s="12"/>
      <c r="H23" s="13"/>
      <c r="I23" s="15"/>
      <c r="J23" s="17"/>
      <c r="K23" s="76"/>
      <c r="L23" s="287"/>
    </row>
    <row r="24" spans="1:25" ht="15.75" thickBot="1">
      <c r="A24" s="56">
        <f t="shared" si="0"/>
        <v>17</v>
      </c>
      <c r="B24" s="160" t="s">
        <v>118</v>
      </c>
      <c r="C24" s="161"/>
      <c r="D24" s="98">
        <f t="shared" ref="D24:J24" si="1">SUM(D11:D22)/12</f>
        <v>299</v>
      </c>
      <c r="E24" s="18">
        <f t="shared" si="1"/>
        <v>263.25</v>
      </c>
      <c r="F24" s="162">
        <f t="shared" si="1"/>
        <v>2.25</v>
      </c>
      <c r="G24" s="18">
        <f t="shared" si="1"/>
        <v>54.75</v>
      </c>
      <c r="H24" s="163">
        <f t="shared" si="1"/>
        <v>207</v>
      </c>
      <c r="I24" s="98">
        <f t="shared" si="1"/>
        <v>137.41666666666666</v>
      </c>
      <c r="J24" s="18">
        <f t="shared" si="1"/>
        <v>963.66666666666663</v>
      </c>
      <c r="K24" s="76"/>
      <c r="L24" s="287"/>
    </row>
    <row r="25" spans="1:25">
      <c r="A25" s="56">
        <f t="shared" si="0"/>
        <v>18</v>
      </c>
    </row>
    <row r="26" spans="1:25" ht="18.75">
      <c r="A26" s="56">
        <f t="shared" si="0"/>
        <v>19</v>
      </c>
      <c r="B26" s="99"/>
      <c r="C26" s="8"/>
      <c r="D26" s="324" t="s">
        <v>455</v>
      </c>
      <c r="E26" s="325"/>
      <c r="F26" s="325"/>
      <c r="G26" s="325"/>
      <c r="H26" s="326"/>
      <c r="I26" s="8"/>
    </row>
    <row r="27" spans="1:25" ht="13.5" thickBot="1">
      <c r="A27" s="56">
        <f t="shared" si="0"/>
        <v>20</v>
      </c>
    </row>
    <row r="28" spans="1:25">
      <c r="A28" s="56">
        <f t="shared" si="0"/>
        <v>21</v>
      </c>
      <c r="B28" s="156"/>
      <c r="C28" s="11"/>
      <c r="D28" s="21" t="s">
        <v>69</v>
      </c>
      <c r="E28" s="10" t="s">
        <v>94</v>
      </c>
      <c r="F28" s="10" t="s">
        <v>95</v>
      </c>
      <c r="G28" s="11" t="s">
        <v>96</v>
      </c>
      <c r="H28" s="21" t="s">
        <v>139</v>
      </c>
      <c r="I28" s="21" t="s">
        <v>1</v>
      </c>
      <c r="J28" s="10" t="s">
        <v>326</v>
      </c>
    </row>
    <row r="29" spans="1:25">
      <c r="A29" s="56">
        <f t="shared" si="0"/>
        <v>22</v>
      </c>
      <c r="B29" s="157"/>
      <c r="C29" s="13"/>
      <c r="D29" s="12" t="s">
        <v>326</v>
      </c>
      <c r="E29" s="12" t="s">
        <v>326</v>
      </c>
      <c r="F29" s="12" t="s">
        <v>97</v>
      </c>
      <c r="G29" s="13" t="s">
        <v>98</v>
      </c>
      <c r="H29" s="14" t="s">
        <v>140</v>
      </c>
      <c r="I29" s="14" t="s">
        <v>2</v>
      </c>
      <c r="J29" s="14" t="s">
        <v>109</v>
      </c>
    </row>
    <row r="30" spans="1:25" ht="13.5" thickBot="1">
      <c r="A30" s="56">
        <f t="shared" si="0"/>
        <v>23</v>
      </c>
      <c r="B30" s="158"/>
      <c r="C30" s="16"/>
      <c r="D30" s="15" t="s">
        <v>99</v>
      </c>
      <c r="E30" s="12" t="s">
        <v>99</v>
      </c>
      <c r="F30" s="15" t="s">
        <v>99</v>
      </c>
      <c r="G30" s="16" t="s">
        <v>99</v>
      </c>
      <c r="H30" s="22" t="s">
        <v>99</v>
      </c>
      <c r="I30" s="22" t="s">
        <v>99</v>
      </c>
      <c r="J30" s="22" t="s">
        <v>110</v>
      </c>
    </row>
    <row r="31" spans="1:25">
      <c r="A31" s="56">
        <f t="shared" si="0"/>
        <v>24</v>
      </c>
      <c r="B31" s="23" t="s">
        <v>159</v>
      </c>
      <c r="C31" s="24"/>
      <c r="D31" s="276">
        <v>318</v>
      </c>
      <c r="E31" s="77">
        <v>351</v>
      </c>
      <c r="F31" s="273">
        <v>2</v>
      </c>
      <c r="G31" s="77">
        <v>66</v>
      </c>
      <c r="H31" s="11">
        <v>252</v>
      </c>
      <c r="I31" s="156">
        <v>80</v>
      </c>
      <c r="J31" s="77">
        <v>1069</v>
      </c>
      <c r="K31" s="25"/>
      <c r="L31" s="164"/>
      <c r="S31" s="287"/>
      <c r="T31" s="287"/>
      <c r="U31" s="287"/>
      <c r="V31" s="287"/>
      <c r="W31" s="287"/>
      <c r="X31" s="287"/>
      <c r="Y31" s="287"/>
    </row>
    <row r="32" spans="1:25">
      <c r="A32" s="56">
        <f t="shared" si="0"/>
        <v>25</v>
      </c>
      <c r="B32" s="23" t="s">
        <v>179</v>
      </c>
      <c r="C32" s="25"/>
      <c r="D32" s="277">
        <v>314</v>
      </c>
      <c r="E32" s="78">
        <v>350</v>
      </c>
      <c r="F32" s="274">
        <v>3</v>
      </c>
      <c r="G32" s="78">
        <v>63</v>
      </c>
      <c r="H32" s="13">
        <v>252</v>
      </c>
      <c r="I32" s="157">
        <v>80</v>
      </c>
      <c r="J32" s="78">
        <v>1062</v>
      </c>
      <c r="K32" s="25"/>
      <c r="S32" s="287"/>
      <c r="T32" s="287"/>
      <c r="U32" s="287"/>
      <c r="V32" s="287"/>
      <c r="W32" s="287"/>
      <c r="X32" s="287"/>
      <c r="Y32" s="287"/>
    </row>
    <row r="33" spans="1:25">
      <c r="A33" s="56">
        <f t="shared" si="0"/>
        <v>26</v>
      </c>
      <c r="B33" s="23" t="s">
        <v>180</v>
      </c>
      <c r="C33" s="25"/>
      <c r="D33" s="277">
        <v>291</v>
      </c>
      <c r="E33" s="78">
        <v>336</v>
      </c>
      <c r="F33" s="274">
        <v>2</v>
      </c>
      <c r="G33" s="78">
        <v>59</v>
      </c>
      <c r="H33" s="13">
        <v>252</v>
      </c>
      <c r="I33" s="157">
        <v>80</v>
      </c>
      <c r="J33" s="78">
        <v>1020</v>
      </c>
      <c r="K33" s="25"/>
      <c r="S33" s="287"/>
      <c r="T33" s="287"/>
      <c r="U33" s="287"/>
      <c r="V33" s="287"/>
      <c r="W33" s="287"/>
      <c r="X33" s="287"/>
      <c r="Y33" s="287"/>
    </row>
    <row r="34" spans="1:25">
      <c r="A34" s="56">
        <f t="shared" si="0"/>
        <v>27</v>
      </c>
      <c r="B34" s="23" t="s">
        <v>190</v>
      </c>
      <c r="C34" s="25"/>
      <c r="D34" s="277">
        <v>267</v>
      </c>
      <c r="E34" s="78">
        <v>317</v>
      </c>
      <c r="F34" s="274">
        <v>3</v>
      </c>
      <c r="G34" s="78">
        <v>52</v>
      </c>
      <c r="H34" s="13">
        <v>252</v>
      </c>
      <c r="I34" s="157">
        <v>80</v>
      </c>
      <c r="J34" s="78">
        <v>971</v>
      </c>
      <c r="K34" s="25"/>
      <c r="S34" s="287"/>
      <c r="T34" s="287"/>
      <c r="U34" s="287"/>
      <c r="V34" s="287"/>
      <c r="W34" s="287"/>
      <c r="X34" s="287"/>
      <c r="Y34" s="287"/>
    </row>
    <row r="35" spans="1:25">
      <c r="A35" s="56">
        <f t="shared" si="0"/>
        <v>28</v>
      </c>
      <c r="B35" s="23" t="s">
        <v>191</v>
      </c>
      <c r="C35" s="25"/>
      <c r="D35" s="277">
        <v>276</v>
      </c>
      <c r="E35" s="78">
        <v>281</v>
      </c>
      <c r="F35" s="274">
        <v>3</v>
      </c>
      <c r="G35" s="78">
        <v>56</v>
      </c>
      <c r="H35" s="13">
        <v>252</v>
      </c>
      <c r="I35" s="157">
        <v>80</v>
      </c>
      <c r="J35" s="78">
        <v>948</v>
      </c>
      <c r="K35" s="25"/>
      <c r="S35" s="287"/>
      <c r="T35" s="287"/>
      <c r="U35" s="287"/>
      <c r="V35" s="287"/>
      <c r="W35" s="287"/>
      <c r="X35" s="287"/>
      <c r="Y35" s="287"/>
    </row>
    <row r="36" spans="1:25">
      <c r="A36" s="56">
        <f t="shared" si="0"/>
        <v>29</v>
      </c>
      <c r="B36" s="23" t="s">
        <v>192</v>
      </c>
      <c r="C36" s="25"/>
      <c r="D36" s="277">
        <v>341</v>
      </c>
      <c r="E36" s="78">
        <v>278</v>
      </c>
      <c r="F36" s="274">
        <v>3</v>
      </c>
      <c r="G36" s="78">
        <v>70</v>
      </c>
      <c r="H36" s="13">
        <v>252</v>
      </c>
      <c r="I36" s="157">
        <v>80</v>
      </c>
      <c r="J36" s="78">
        <v>1024</v>
      </c>
      <c r="K36" s="25"/>
      <c r="S36" s="287"/>
      <c r="T36" s="287"/>
      <c r="U36" s="287"/>
      <c r="V36" s="287"/>
      <c r="W36" s="287"/>
      <c r="X36" s="287"/>
      <c r="Y36" s="287"/>
    </row>
    <row r="37" spans="1:25">
      <c r="A37" s="56">
        <f t="shared" si="0"/>
        <v>30</v>
      </c>
      <c r="B37" s="23" t="s">
        <v>181</v>
      </c>
      <c r="C37" s="25"/>
      <c r="D37" s="277">
        <v>369</v>
      </c>
      <c r="E37" s="78">
        <v>299</v>
      </c>
      <c r="F37" s="274">
        <v>4</v>
      </c>
      <c r="G37" s="78">
        <v>78</v>
      </c>
      <c r="H37" s="13">
        <v>252</v>
      </c>
      <c r="I37" s="157">
        <v>80</v>
      </c>
      <c r="J37" s="78">
        <v>1082</v>
      </c>
      <c r="K37" s="25"/>
      <c r="S37" s="287"/>
      <c r="T37" s="287"/>
      <c r="U37" s="287"/>
      <c r="V37" s="287"/>
      <c r="W37" s="287"/>
      <c r="X37" s="287"/>
      <c r="Y37" s="287"/>
    </row>
    <row r="38" spans="1:25">
      <c r="A38" s="56">
        <f t="shared" si="0"/>
        <v>31</v>
      </c>
      <c r="B38" s="23" t="s">
        <v>156</v>
      </c>
      <c r="C38" s="25"/>
      <c r="D38" s="277">
        <v>364</v>
      </c>
      <c r="E38" s="78">
        <v>299</v>
      </c>
      <c r="F38" s="274">
        <v>4</v>
      </c>
      <c r="G38" s="78">
        <v>74</v>
      </c>
      <c r="H38" s="13">
        <v>252</v>
      </c>
      <c r="I38" s="157">
        <v>80</v>
      </c>
      <c r="J38" s="78">
        <v>1073</v>
      </c>
      <c r="K38" s="25"/>
      <c r="S38" s="287"/>
      <c r="T38" s="287"/>
      <c r="U38" s="287"/>
      <c r="V38" s="287"/>
      <c r="W38" s="287"/>
      <c r="X38" s="287"/>
      <c r="Y38" s="287"/>
    </row>
    <row r="39" spans="1:25">
      <c r="A39" s="56">
        <f t="shared" si="0"/>
        <v>32</v>
      </c>
      <c r="B39" s="23" t="s">
        <v>182</v>
      </c>
      <c r="C39" s="25"/>
      <c r="D39" s="277">
        <v>315</v>
      </c>
      <c r="E39" s="78">
        <v>287</v>
      </c>
      <c r="F39" s="274">
        <v>3</v>
      </c>
      <c r="G39" s="78">
        <v>67</v>
      </c>
      <c r="H39" s="13">
        <v>252</v>
      </c>
      <c r="I39" s="157">
        <v>80</v>
      </c>
      <c r="J39" s="78">
        <v>1004</v>
      </c>
      <c r="K39" s="25"/>
      <c r="S39" s="287"/>
      <c r="T39" s="287"/>
      <c r="U39" s="287"/>
      <c r="V39" s="287"/>
      <c r="W39" s="287"/>
      <c r="X39" s="287"/>
      <c r="Y39" s="287"/>
    </row>
    <row r="40" spans="1:25">
      <c r="A40" s="56">
        <f t="shared" si="0"/>
        <v>33</v>
      </c>
      <c r="B40" s="23" t="s">
        <v>157</v>
      </c>
      <c r="C40" s="25"/>
      <c r="D40" s="277">
        <v>275</v>
      </c>
      <c r="E40" s="78">
        <v>304</v>
      </c>
      <c r="F40" s="274">
        <v>3</v>
      </c>
      <c r="G40" s="78">
        <v>53</v>
      </c>
      <c r="H40" s="13">
        <v>252</v>
      </c>
      <c r="I40" s="157">
        <v>80</v>
      </c>
      <c r="J40" s="78">
        <v>967</v>
      </c>
      <c r="K40" s="25"/>
      <c r="S40" s="287"/>
      <c r="T40" s="287"/>
      <c r="U40" s="287"/>
      <c r="V40" s="287"/>
      <c r="W40" s="287"/>
      <c r="X40" s="287"/>
      <c r="Y40" s="287"/>
    </row>
    <row r="41" spans="1:25">
      <c r="A41" s="56">
        <f t="shared" si="0"/>
        <v>34</v>
      </c>
      <c r="B41" s="23" t="s">
        <v>158</v>
      </c>
      <c r="C41" s="25"/>
      <c r="D41" s="277">
        <v>299</v>
      </c>
      <c r="E41" s="78">
        <v>325</v>
      </c>
      <c r="F41" s="274">
        <v>2</v>
      </c>
      <c r="G41" s="78">
        <v>62</v>
      </c>
      <c r="H41" s="13">
        <v>252</v>
      </c>
      <c r="I41" s="157">
        <v>80</v>
      </c>
      <c r="J41" s="78">
        <v>1020</v>
      </c>
      <c r="K41" s="25"/>
      <c r="S41" s="287"/>
      <c r="T41" s="287"/>
      <c r="U41" s="287"/>
      <c r="V41" s="287"/>
      <c r="W41" s="287"/>
      <c r="X41" s="287"/>
      <c r="Y41" s="287"/>
    </row>
    <row r="42" spans="1:25" ht="13.5" thickBot="1">
      <c r="A42" s="56">
        <f t="shared" si="0"/>
        <v>35</v>
      </c>
      <c r="B42" s="26" t="s">
        <v>183</v>
      </c>
      <c r="C42" s="27"/>
      <c r="D42" s="278">
        <v>323</v>
      </c>
      <c r="E42" s="79">
        <v>357</v>
      </c>
      <c r="F42" s="275">
        <v>2</v>
      </c>
      <c r="G42" s="79">
        <v>67</v>
      </c>
      <c r="H42" s="275">
        <v>252</v>
      </c>
      <c r="I42" s="158">
        <v>80</v>
      </c>
      <c r="J42" s="79">
        <v>1081</v>
      </c>
      <c r="K42" s="25"/>
      <c r="S42" s="287"/>
      <c r="T42" s="287"/>
      <c r="U42" s="287"/>
      <c r="V42" s="287"/>
      <c r="W42" s="287"/>
      <c r="X42" s="287"/>
      <c r="Y42" s="287"/>
    </row>
    <row r="43" spans="1:25" ht="13.5" thickBot="1">
      <c r="A43" s="56">
        <f t="shared" si="0"/>
        <v>36</v>
      </c>
      <c r="B43" s="159"/>
      <c r="C43" s="25"/>
      <c r="D43" s="17"/>
      <c r="E43" s="17"/>
      <c r="F43" s="17"/>
      <c r="G43" s="12"/>
      <c r="H43" s="13"/>
      <c r="I43" s="15"/>
      <c r="J43" s="80"/>
      <c r="K43" s="25"/>
      <c r="S43" s="287"/>
      <c r="T43" s="287"/>
      <c r="U43" s="287"/>
      <c r="V43" s="287"/>
      <c r="W43" s="287"/>
      <c r="X43" s="287"/>
      <c r="Y43" s="287"/>
    </row>
    <row r="44" spans="1:25" ht="13.5" thickBot="1">
      <c r="A44" s="56">
        <f t="shared" si="0"/>
        <v>37</v>
      </c>
      <c r="B44" s="160" t="s">
        <v>118</v>
      </c>
      <c r="C44" s="161"/>
      <c r="D44" s="18">
        <f t="shared" ref="D44:J44" si="2">SUM(D31:D42)/12</f>
        <v>312.66666666666669</v>
      </c>
      <c r="E44" s="18">
        <f t="shared" si="2"/>
        <v>315.33333333333331</v>
      </c>
      <c r="F44" s="18">
        <f t="shared" si="2"/>
        <v>2.8333333333333335</v>
      </c>
      <c r="G44" s="18">
        <f t="shared" si="2"/>
        <v>63.916666666666664</v>
      </c>
      <c r="H44" s="18">
        <f t="shared" si="2"/>
        <v>252</v>
      </c>
      <c r="I44" s="18">
        <f t="shared" si="2"/>
        <v>80</v>
      </c>
      <c r="J44" s="18">
        <f t="shared" si="2"/>
        <v>1026.75</v>
      </c>
      <c r="K44" s="70"/>
      <c r="S44" s="287"/>
      <c r="T44" s="287"/>
      <c r="U44" s="287"/>
      <c r="V44" s="287"/>
      <c r="W44" s="287"/>
      <c r="X44" s="287"/>
      <c r="Y44" s="287"/>
    </row>
    <row r="45" spans="1:25">
      <c r="A45" s="56">
        <f t="shared" si="0"/>
        <v>38</v>
      </c>
      <c r="S45" s="287"/>
      <c r="T45" s="287"/>
      <c r="U45" s="287"/>
      <c r="V45" s="287"/>
      <c r="W45" s="287"/>
      <c r="X45" s="287"/>
      <c r="Y45" s="287"/>
    </row>
    <row r="46" spans="1:25">
      <c r="A46" s="56">
        <f t="shared" si="0"/>
        <v>39</v>
      </c>
      <c r="B46" s="29" t="s">
        <v>409</v>
      </c>
      <c r="C46" s="164"/>
      <c r="D46" s="165"/>
      <c r="E46" s="165"/>
      <c r="F46" s="165"/>
      <c r="G46" s="166"/>
      <c r="H46" s="166"/>
      <c r="I46" s="167"/>
    </row>
    <row r="47" spans="1:25">
      <c r="A47" s="56">
        <f t="shared" si="0"/>
        <v>40</v>
      </c>
      <c r="B47" s="29" t="s">
        <v>410</v>
      </c>
      <c r="C47" s="164"/>
      <c r="G47" s="166"/>
    </row>
    <row r="48" spans="1:25">
      <c r="A48" s="56"/>
      <c r="B48" s="29"/>
      <c r="D48" s="31"/>
      <c r="E48" s="31"/>
    </row>
    <row r="49" spans="1:5">
      <c r="A49" s="56"/>
      <c r="B49" s="29"/>
      <c r="D49" s="31"/>
      <c r="E49" s="31"/>
    </row>
    <row r="50" spans="1:5">
      <c r="A50" s="56"/>
      <c r="B50" s="31"/>
      <c r="C50" s="31"/>
      <c r="D50" s="31"/>
      <c r="E50" s="31"/>
    </row>
    <row r="51" spans="1:5">
      <c r="A51" s="56"/>
      <c r="B51" s="31"/>
      <c r="C51" s="31"/>
      <c r="D51" s="31"/>
      <c r="E51" s="31"/>
    </row>
    <row r="52" spans="1:5">
      <c r="B52" s="31"/>
      <c r="C52" s="31"/>
      <c r="D52" s="31"/>
      <c r="E52" s="31"/>
    </row>
    <row r="53" spans="1:5">
      <c r="B53" s="31"/>
      <c r="C53" s="31"/>
      <c r="D53" s="31"/>
      <c r="E53" s="31"/>
    </row>
    <row r="54" spans="1:5">
      <c r="B54" s="31"/>
      <c r="C54" s="31"/>
      <c r="D54" s="31"/>
      <c r="E54" s="31"/>
    </row>
    <row r="55" spans="1:5">
      <c r="B55" s="31"/>
      <c r="C55" s="31"/>
      <c r="D55" s="31"/>
      <c r="E55" s="31"/>
    </row>
    <row r="56" spans="1:5">
      <c r="B56" s="31"/>
      <c r="C56" s="31"/>
      <c r="D56" s="31"/>
      <c r="E56" s="31"/>
    </row>
    <row r="57" spans="1:5">
      <c r="B57" s="31"/>
      <c r="C57" s="31"/>
      <c r="D57" s="31"/>
      <c r="E57" s="31"/>
    </row>
    <row r="58" spans="1:5">
      <c r="B58" s="31"/>
      <c r="C58" s="31"/>
      <c r="D58" s="31"/>
      <c r="E58" s="31"/>
    </row>
    <row r="59" spans="1:5">
      <c r="B59" s="168"/>
      <c r="C59" s="168"/>
      <c r="D59" s="168"/>
      <c r="E59" s="168"/>
    </row>
    <row r="114" spans="8:10">
      <c r="H114" s="30" t="s">
        <v>200</v>
      </c>
      <c r="I114" s="30">
        <f>+K183</f>
        <v>0</v>
      </c>
    </row>
    <row r="115" spans="8:10">
      <c r="I115" s="30">
        <f>+I114</f>
        <v>0</v>
      </c>
    </row>
    <row r="128" spans="8:10">
      <c r="I128" s="30">
        <f>+I6</f>
        <v>0</v>
      </c>
      <c r="J128" s="30">
        <f>+J6</f>
        <v>0</v>
      </c>
    </row>
    <row r="206" spans="9:10">
      <c r="I206" s="30">
        <f>I6</f>
        <v>0</v>
      </c>
      <c r="J206" s="30">
        <f>+J6</f>
        <v>0</v>
      </c>
    </row>
  </sheetData>
  <mergeCells count="4">
    <mergeCell ref="D6:H6"/>
    <mergeCell ref="D26:H26"/>
    <mergeCell ref="A3:J3"/>
    <mergeCell ref="A4:J4"/>
  </mergeCells>
  <phoneticPr fontId="21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A1:R120"/>
  <sheetViews>
    <sheetView zoomScale="110" zoomScaleNormal="110" zoomScalePageLayoutView="125" workbookViewId="0">
      <selection activeCell="D28" sqref="D28"/>
    </sheetView>
  </sheetViews>
  <sheetFormatPr defaultColWidth="8.5546875" defaultRowHeight="11.25"/>
  <cols>
    <col min="1" max="1" width="3.88671875" style="33" customWidth="1"/>
    <col min="2" max="2" width="18.44140625" style="33" customWidth="1"/>
    <col min="3" max="3" width="11.88671875" style="33" customWidth="1"/>
    <col min="4" max="4" width="10.109375" style="33" customWidth="1"/>
    <col min="5" max="5" width="0.88671875" style="33" customWidth="1"/>
    <col min="6" max="6" width="10.109375" style="33" customWidth="1"/>
    <col min="7" max="7" width="8.5546875" style="33" customWidth="1"/>
    <col min="8" max="8" width="8" style="33" customWidth="1"/>
    <col min="9" max="10" width="8.5546875" style="33"/>
    <col min="11" max="11" width="9.33203125" style="33" bestFit="1" customWidth="1"/>
    <col min="12" max="12" width="8.5546875" style="33"/>
    <col min="13" max="13" width="11.88671875" style="33" customWidth="1"/>
    <col min="14" max="16384" width="8.5546875" style="33"/>
  </cols>
  <sheetData>
    <row r="1" spans="1:11" ht="12.75">
      <c r="C1" s="140"/>
      <c r="H1" s="53" t="str">
        <f>'CU AC Rate Design - True-Up'!H1</f>
        <v>Date: May 31, 2022</v>
      </c>
      <c r="J1" s="141"/>
    </row>
    <row r="2" spans="1:11">
      <c r="C2" s="39"/>
      <c r="D2" s="39"/>
      <c r="H2" s="53" t="s">
        <v>463</v>
      </c>
    </row>
    <row r="3" spans="1:11" ht="12.75">
      <c r="B3" s="327"/>
      <c r="C3" s="327"/>
      <c r="D3" s="327"/>
      <c r="E3" s="327"/>
      <c r="F3" s="327"/>
      <c r="G3" s="327"/>
      <c r="H3" s="327"/>
      <c r="J3" s="141"/>
    </row>
    <row r="4" spans="1:11" ht="12.75">
      <c r="B4" s="142"/>
      <c r="C4" s="140"/>
    </row>
    <row r="5" spans="1:11" ht="12" customHeight="1">
      <c r="B5" s="143"/>
    </row>
    <row r="8" spans="1:11" ht="13.5" customHeight="1">
      <c r="A8" s="144" t="s">
        <v>196</v>
      </c>
      <c r="D8" s="36" t="s">
        <v>300</v>
      </c>
      <c r="F8" s="36" t="s">
        <v>248</v>
      </c>
      <c r="G8" s="36"/>
      <c r="H8" s="36" t="s">
        <v>301</v>
      </c>
    </row>
    <row r="9" spans="1:11" ht="13.5" customHeight="1">
      <c r="A9" s="145" t="s">
        <v>197</v>
      </c>
      <c r="B9" s="44" t="s">
        <v>322</v>
      </c>
      <c r="C9" s="145" t="s">
        <v>302</v>
      </c>
      <c r="D9" s="145" t="s">
        <v>198</v>
      </c>
      <c r="F9" s="145" t="s">
        <v>303</v>
      </c>
      <c r="G9" s="145" t="s">
        <v>199</v>
      </c>
      <c r="H9" s="145" t="s">
        <v>198</v>
      </c>
    </row>
    <row r="10" spans="1:11" ht="13.5" customHeight="1">
      <c r="G10" s="37"/>
    </row>
    <row r="11" spans="1:11">
      <c r="A11" s="36">
        <v>1</v>
      </c>
      <c r="B11" s="33" t="s">
        <v>457</v>
      </c>
      <c r="C11" s="33" t="s">
        <v>397</v>
      </c>
      <c r="D11" s="45">
        <f>162681+663072+236767+287696+742738+78512-76296+84140</f>
        <v>2179310</v>
      </c>
      <c r="F11" s="36" t="s">
        <v>387</v>
      </c>
      <c r="G11" s="37">
        <v>1</v>
      </c>
      <c r="H11" s="45">
        <f>D11*G11</f>
        <v>2179310</v>
      </c>
      <c r="J11" s="45"/>
    </row>
    <row r="12" spans="1:11">
      <c r="A12" s="36">
        <f>+A11+1</f>
        <v>2</v>
      </c>
      <c r="B12" s="33" t="s">
        <v>65</v>
      </c>
      <c r="C12" s="33" t="s">
        <v>399</v>
      </c>
      <c r="D12" s="45">
        <v>78512</v>
      </c>
      <c r="F12" s="36" t="s">
        <v>387</v>
      </c>
      <c r="G12" s="37">
        <f>+G11</f>
        <v>1</v>
      </c>
      <c r="H12" s="45">
        <f>D12*G12</f>
        <v>78512</v>
      </c>
      <c r="J12" s="45"/>
    </row>
    <row r="13" spans="1:11">
      <c r="A13" s="36">
        <f t="shared" ref="A13:A34" si="0">+A12+1</f>
        <v>3</v>
      </c>
      <c r="B13" s="33" t="s">
        <v>66</v>
      </c>
      <c r="C13" s="33" t="s">
        <v>400</v>
      </c>
      <c r="D13" s="45">
        <v>-76296</v>
      </c>
      <c r="F13" s="36" t="s">
        <v>387</v>
      </c>
      <c r="G13" s="37">
        <f>+G12</f>
        <v>1</v>
      </c>
      <c r="H13" s="45">
        <f>D13*G13</f>
        <v>-76296</v>
      </c>
      <c r="J13" s="45"/>
      <c r="K13" s="271"/>
    </row>
    <row r="14" spans="1:11" ht="12" thickBot="1">
      <c r="A14" s="36">
        <f t="shared" si="0"/>
        <v>4</v>
      </c>
      <c r="B14" s="38" t="s">
        <v>325</v>
      </c>
      <c r="C14" s="39"/>
      <c r="D14" s="40">
        <f>+D11-D12-D13</f>
        <v>2177094</v>
      </c>
      <c r="H14" s="41">
        <f>+H11-H12-H13</f>
        <v>2177094</v>
      </c>
    </row>
    <row r="15" spans="1:11">
      <c r="A15" s="36">
        <f t="shared" si="0"/>
        <v>5</v>
      </c>
    </row>
    <row r="16" spans="1:11">
      <c r="A16" s="36">
        <f t="shared" si="0"/>
        <v>6</v>
      </c>
      <c r="B16" s="44" t="s">
        <v>458</v>
      </c>
    </row>
    <row r="17" spans="1:7">
      <c r="A17" s="36">
        <f t="shared" si="0"/>
        <v>7</v>
      </c>
      <c r="B17" s="33" t="s">
        <v>304</v>
      </c>
      <c r="C17" s="33" t="s">
        <v>398</v>
      </c>
      <c r="D17" s="45">
        <f>145035.84+712957.82+207246.96+293386.08+634603.66+5366.08+18941.86+123972.6</f>
        <v>2141510.9</v>
      </c>
      <c r="F17" s="45"/>
    </row>
    <row r="18" spans="1:7">
      <c r="A18" s="36">
        <f t="shared" si="0"/>
        <v>8</v>
      </c>
      <c r="B18" s="33" t="s">
        <v>65</v>
      </c>
      <c r="C18" s="33" t="s">
        <v>67</v>
      </c>
      <c r="D18" s="45">
        <v>5366.08</v>
      </c>
      <c r="F18" s="45"/>
      <c r="G18" s="84"/>
    </row>
    <row r="19" spans="1:7">
      <c r="A19" s="36">
        <f t="shared" si="0"/>
        <v>9</v>
      </c>
      <c r="B19" s="33" t="s">
        <v>66</v>
      </c>
      <c r="C19" s="33" t="s">
        <v>68</v>
      </c>
      <c r="D19" s="45">
        <v>18941.86</v>
      </c>
      <c r="F19" s="45"/>
      <c r="G19" s="84"/>
    </row>
    <row r="20" spans="1:7" ht="12" thickBot="1">
      <c r="A20" s="36">
        <f t="shared" si="0"/>
        <v>10</v>
      </c>
      <c r="D20" s="40">
        <f>+D17-D18-D19</f>
        <v>2117202.96</v>
      </c>
      <c r="F20" s="84"/>
      <c r="G20" s="84"/>
    </row>
    <row r="21" spans="1:7">
      <c r="A21" s="36">
        <f t="shared" si="0"/>
        <v>11</v>
      </c>
      <c r="D21" s="46"/>
      <c r="F21" s="84"/>
      <c r="G21" s="84"/>
    </row>
    <row r="22" spans="1:7">
      <c r="A22" s="36">
        <f t="shared" si="0"/>
        <v>12</v>
      </c>
      <c r="B22" s="33" t="str">
        <f>"True-up Amount to be (Refunded)/Paid (line "&amp;A20&amp;"-line "&amp;A14&amp;")"</f>
        <v>True-up Amount to be (Refunded)/Paid (line 10-line 4)</v>
      </c>
      <c r="D22" s="46">
        <f>D20-D14</f>
        <v>-59891.040000000037</v>
      </c>
      <c r="F22" s="84"/>
      <c r="G22" s="84"/>
    </row>
    <row r="23" spans="1:7">
      <c r="A23" s="36">
        <f t="shared" si="0"/>
        <v>13</v>
      </c>
      <c r="F23" s="84"/>
      <c r="G23" s="84"/>
    </row>
    <row r="24" spans="1:7">
      <c r="A24" s="36">
        <f t="shared" si="0"/>
        <v>14</v>
      </c>
    </row>
    <row r="25" spans="1:7">
      <c r="A25" s="36">
        <f t="shared" si="0"/>
        <v>15</v>
      </c>
      <c r="B25" s="42" t="s">
        <v>305</v>
      </c>
    </row>
    <row r="26" spans="1:7">
      <c r="A26" s="36">
        <f t="shared" si="0"/>
        <v>16</v>
      </c>
    </row>
    <row r="27" spans="1:7" ht="12.75">
      <c r="A27" s="36">
        <f t="shared" si="0"/>
        <v>17</v>
      </c>
      <c r="B27" s="33" t="s">
        <v>306</v>
      </c>
      <c r="D27" s="50">
        <f>D20</f>
        <v>2117202.96</v>
      </c>
    </row>
    <row r="28" spans="1:7" ht="12.75">
      <c r="A28" s="36">
        <f t="shared" si="0"/>
        <v>18</v>
      </c>
      <c r="B28" s="51" t="s">
        <v>307</v>
      </c>
      <c r="D28" s="52">
        <f>'WP7 CU AC LOADS'!J24*1000</f>
        <v>963666.66666666663</v>
      </c>
      <c r="F28" s="146" t="s">
        <v>308</v>
      </c>
      <c r="G28" s="33" t="s">
        <v>465</v>
      </c>
    </row>
    <row r="29" spans="1:7" ht="12">
      <c r="A29" s="36">
        <f t="shared" si="0"/>
        <v>19</v>
      </c>
      <c r="F29" s="146"/>
    </row>
    <row r="30" spans="1:7" ht="12.75">
      <c r="A30" s="36">
        <f t="shared" si="0"/>
        <v>20</v>
      </c>
      <c r="B30" s="53" t="s">
        <v>309</v>
      </c>
      <c r="D30" s="54">
        <f>D27/D28</f>
        <v>2.1970283223797993</v>
      </c>
      <c r="E30" s="33" t="s">
        <v>310</v>
      </c>
      <c r="F30" s="147" t="s">
        <v>311</v>
      </c>
      <c r="G30" s="33" t="s">
        <v>14</v>
      </c>
    </row>
    <row r="31" spans="1:7" ht="12.75">
      <c r="A31" s="36">
        <f t="shared" si="0"/>
        <v>21</v>
      </c>
      <c r="B31" s="53" t="s">
        <v>312</v>
      </c>
      <c r="D31" s="54">
        <f>D30/12</f>
        <v>0.18308569353164994</v>
      </c>
      <c r="E31" s="33" t="s">
        <v>310</v>
      </c>
      <c r="F31" s="147" t="s">
        <v>313</v>
      </c>
      <c r="G31" s="33" t="s">
        <v>15</v>
      </c>
    </row>
    <row r="32" spans="1:7" ht="12.75">
      <c r="A32" s="36">
        <f t="shared" si="0"/>
        <v>22</v>
      </c>
      <c r="B32" s="53" t="s">
        <v>314</v>
      </c>
      <c r="D32" s="54">
        <f>D30/52</f>
        <v>4.2250544661149983E-2</v>
      </c>
      <c r="E32" s="33" t="s">
        <v>310</v>
      </c>
      <c r="F32" s="147" t="s">
        <v>315</v>
      </c>
      <c r="G32" s="33" t="s">
        <v>16</v>
      </c>
    </row>
    <row r="33" spans="1:8" ht="12.75">
      <c r="A33" s="36">
        <f t="shared" si="0"/>
        <v>23</v>
      </c>
      <c r="B33" s="53" t="s">
        <v>316</v>
      </c>
      <c r="C33" s="36" t="s">
        <v>323</v>
      </c>
      <c r="D33" s="54">
        <f>D30/365</f>
        <v>6.0192556777528749E-3</v>
      </c>
      <c r="E33" s="33" t="s">
        <v>310</v>
      </c>
      <c r="F33" s="147" t="s">
        <v>317</v>
      </c>
      <c r="G33" s="33" t="s">
        <v>17</v>
      </c>
    </row>
    <row r="34" spans="1:8" ht="12.75">
      <c r="A34" s="36">
        <f t="shared" si="0"/>
        <v>24</v>
      </c>
      <c r="B34" s="53" t="s">
        <v>318</v>
      </c>
      <c r="C34" s="36" t="s">
        <v>324</v>
      </c>
      <c r="D34" s="54">
        <f>(D30/8760)*1000</f>
        <v>0.25080231990636981</v>
      </c>
      <c r="E34" s="33" t="s">
        <v>310</v>
      </c>
      <c r="F34" s="147" t="s">
        <v>319</v>
      </c>
      <c r="G34" s="33" t="s">
        <v>18</v>
      </c>
    </row>
    <row r="35" spans="1:8">
      <c r="B35" s="53"/>
    </row>
    <row r="42" spans="1:8" ht="10.5" customHeight="1"/>
    <row r="46" spans="1:8" ht="15.75">
      <c r="H46" s="148"/>
    </row>
    <row r="47" spans="1:8" ht="15">
      <c r="H47" s="149"/>
    </row>
    <row r="48" spans="1:8">
      <c r="H48" s="33" t="s">
        <v>194</v>
      </c>
    </row>
    <row r="52" spans="1:9" ht="14.25">
      <c r="C52" s="150"/>
    </row>
    <row r="53" spans="1:9" ht="14.25">
      <c r="C53" s="150"/>
    </row>
    <row r="54" spans="1:9" ht="14.25">
      <c r="C54" s="151"/>
    </row>
    <row r="55" spans="1:9" ht="15">
      <c r="A55" s="76"/>
      <c r="B55" s="76"/>
      <c r="C55" s="76"/>
      <c r="D55" s="76"/>
      <c r="E55" s="76"/>
      <c r="F55" s="76"/>
      <c r="G55" s="76"/>
      <c r="H55" s="76"/>
      <c r="I55" s="76"/>
    </row>
    <row r="56" spans="1:9" ht="15">
      <c r="A56" s="76"/>
      <c r="B56" s="76"/>
      <c r="C56" s="76"/>
      <c r="D56" s="76"/>
      <c r="E56" s="76"/>
      <c r="F56" s="76"/>
      <c r="G56" s="76"/>
      <c r="H56" s="76"/>
      <c r="I56" s="76"/>
    </row>
    <row r="57" spans="1:9" ht="15">
      <c r="A57" s="76"/>
      <c r="B57" s="76"/>
      <c r="C57" s="76"/>
      <c r="D57" s="76"/>
      <c r="E57" s="76"/>
      <c r="F57" s="76"/>
      <c r="G57" s="76"/>
      <c r="H57" s="76"/>
      <c r="I57" s="76"/>
    </row>
    <row r="58" spans="1:9" ht="15">
      <c r="A58" s="76"/>
      <c r="B58" s="76"/>
      <c r="C58" s="76"/>
      <c r="D58" s="76"/>
      <c r="E58" s="76"/>
      <c r="F58" s="76"/>
      <c r="G58" s="76"/>
      <c r="H58" s="76"/>
      <c r="I58" s="76"/>
    </row>
    <row r="59" spans="1:9" ht="15">
      <c r="A59" s="76"/>
      <c r="B59" s="76"/>
      <c r="C59" s="76"/>
      <c r="D59" s="76"/>
      <c r="E59" s="76"/>
      <c r="F59" s="76"/>
      <c r="G59" s="76"/>
      <c r="H59" s="76"/>
      <c r="I59" s="76"/>
    </row>
    <row r="60" spans="1:9" ht="15">
      <c r="A60" s="76"/>
      <c r="B60" s="76"/>
      <c r="C60" s="76"/>
      <c r="D60" s="76"/>
      <c r="E60" s="76"/>
      <c r="F60" s="76"/>
      <c r="G60" s="76"/>
      <c r="H60" s="76"/>
      <c r="I60" s="76"/>
    </row>
    <row r="61" spans="1:9" ht="15">
      <c r="A61" s="76"/>
      <c r="B61" s="76"/>
      <c r="C61" s="76"/>
      <c r="D61" s="76"/>
      <c r="E61" s="76"/>
      <c r="F61" s="76"/>
      <c r="G61" s="76"/>
      <c r="H61" s="76"/>
      <c r="I61" s="76"/>
    </row>
    <row r="62" spans="1:9" ht="15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>
      <c r="A63" s="76"/>
      <c r="B63" s="76"/>
      <c r="C63" s="76"/>
      <c r="D63" s="76"/>
      <c r="E63" s="76"/>
      <c r="F63" s="76"/>
      <c r="G63" s="76"/>
      <c r="H63" s="76"/>
      <c r="I63" s="76"/>
    </row>
    <row r="64" spans="1:9" ht="15">
      <c r="A64" s="76"/>
      <c r="B64" s="76"/>
      <c r="C64" s="76"/>
      <c r="D64" s="76"/>
      <c r="E64" s="76"/>
      <c r="F64" s="76"/>
      <c r="G64" s="76"/>
      <c r="H64" s="76"/>
      <c r="I64" s="76"/>
    </row>
    <row r="65" spans="1:9" ht="15">
      <c r="A65" s="76"/>
      <c r="B65" s="76"/>
      <c r="C65" s="76"/>
      <c r="D65" s="76"/>
      <c r="E65" s="76"/>
      <c r="F65" s="76"/>
      <c r="G65" s="76"/>
      <c r="H65" s="76"/>
      <c r="I65" s="76"/>
    </row>
    <row r="66" spans="1:9" ht="15">
      <c r="A66" s="76"/>
      <c r="B66" s="76"/>
      <c r="C66" s="76"/>
      <c r="D66" s="76"/>
      <c r="E66" s="76"/>
      <c r="F66" s="76"/>
      <c r="G66" s="76"/>
      <c r="H66" s="76"/>
      <c r="I66" s="76"/>
    </row>
    <row r="67" spans="1:9" ht="15">
      <c r="A67" s="76"/>
      <c r="B67" s="76"/>
      <c r="C67" s="76"/>
      <c r="D67" s="76"/>
      <c r="E67" s="76"/>
      <c r="F67" s="76"/>
      <c r="G67" s="76"/>
      <c r="H67" s="76"/>
      <c r="I67" s="76"/>
    </row>
    <row r="68" spans="1:9" ht="15">
      <c r="A68" s="76"/>
      <c r="B68" s="76"/>
      <c r="C68" s="76"/>
      <c r="D68" s="76"/>
      <c r="E68" s="76"/>
      <c r="F68" s="76"/>
      <c r="G68" s="76"/>
      <c r="H68" s="76"/>
      <c r="I68" s="76"/>
    </row>
    <row r="69" spans="1:9" ht="15">
      <c r="A69" s="76"/>
      <c r="B69" s="76"/>
      <c r="C69" s="76"/>
      <c r="D69" s="76"/>
      <c r="E69" s="76"/>
      <c r="F69" s="76"/>
      <c r="G69" s="76"/>
      <c r="H69" s="76"/>
      <c r="I69" s="76"/>
    </row>
    <row r="70" spans="1:9" ht="15">
      <c r="A70" s="76"/>
      <c r="B70" s="76"/>
      <c r="C70" s="76"/>
      <c r="D70" s="76"/>
      <c r="E70" s="76"/>
      <c r="F70" s="76"/>
      <c r="G70" s="76"/>
      <c r="H70" s="76"/>
      <c r="I70" s="76"/>
    </row>
    <row r="71" spans="1:9" ht="15">
      <c r="A71" s="76"/>
      <c r="B71" s="76"/>
      <c r="C71" s="76"/>
      <c r="D71" s="76"/>
      <c r="E71" s="76"/>
      <c r="F71" s="76"/>
      <c r="G71" s="76"/>
      <c r="H71" s="76"/>
      <c r="I71" s="76"/>
    </row>
    <row r="72" spans="1:9" ht="15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>
      <c r="A73" s="76"/>
      <c r="B73" s="76"/>
      <c r="C73" s="76"/>
      <c r="D73" s="76"/>
      <c r="E73" s="76"/>
      <c r="F73" s="76"/>
      <c r="G73" s="76"/>
      <c r="H73" s="76"/>
      <c r="I73" s="76"/>
    </row>
    <row r="74" spans="1:9" ht="15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>
      <c r="A75" s="76"/>
      <c r="B75" s="76"/>
      <c r="C75" s="76"/>
      <c r="D75" s="76"/>
      <c r="E75" s="76"/>
      <c r="F75" s="76"/>
      <c r="G75" s="76"/>
      <c r="H75" s="76"/>
      <c r="I75" s="76"/>
    </row>
    <row r="76" spans="1:9" ht="15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15">
      <c r="A77" s="76"/>
      <c r="B77" s="76"/>
      <c r="C77" s="76"/>
      <c r="D77" s="76"/>
      <c r="E77" s="76"/>
      <c r="F77" s="76"/>
      <c r="G77" s="76"/>
      <c r="H77" s="76"/>
      <c r="I77" s="76"/>
    </row>
    <row r="78" spans="1:9" ht="15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>
      <c r="A79" s="76"/>
      <c r="B79" s="76"/>
      <c r="C79" s="76"/>
      <c r="D79" s="76"/>
      <c r="E79" s="76"/>
      <c r="F79" s="76"/>
      <c r="G79" s="76"/>
      <c r="H79" s="76"/>
      <c r="I79" s="76"/>
    </row>
    <row r="80" spans="1:9" ht="15">
      <c r="A80" s="76"/>
      <c r="B80" s="76"/>
      <c r="C80" s="76"/>
      <c r="D80" s="76"/>
      <c r="E80" s="76"/>
      <c r="F80" s="76"/>
      <c r="G80" s="76"/>
      <c r="H80" s="76"/>
      <c r="I80" s="76"/>
    </row>
    <row r="81" spans="1:18" ht="15">
      <c r="A81" s="76"/>
      <c r="B81" s="76"/>
      <c r="C81" s="76"/>
      <c r="D81" s="76"/>
      <c r="E81" s="76"/>
      <c r="F81" s="76"/>
      <c r="G81" s="76"/>
      <c r="H81" s="76"/>
      <c r="I81" s="76"/>
    </row>
    <row r="82" spans="1:18" ht="15">
      <c r="A82" s="76"/>
      <c r="B82" s="76"/>
      <c r="C82" s="76"/>
      <c r="D82" s="76"/>
      <c r="E82" s="76"/>
      <c r="F82" s="76"/>
      <c r="G82" s="76"/>
      <c r="H82" s="76"/>
      <c r="I82" s="76"/>
    </row>
    <row r="83" spans="1:18" ht="15">
      <c r="A83" s="76"/>
      <c r="B83" s="76"/>
      <c r="C83" s="76"/>
      <c r="D83" s="76"/>
      <c r="E83" s="76"/>
      <c r="F83" s="76"/>
      <c r="G83" s="76"/>
      <c r="H83" s="76"/>
      <c r="I83" s="76"/>
    </row>
    <row r="84" spans="1:18" ht="15">
      <c r="A84" s="76"/>
      <c r="B84" s="76"/>
      <c r="C84" s="76"/>
      <c r="D84" s="76"/>
      <c r="E84" s="76"/>
      <c r="F84" s="76"/>
      <c r="G84" s="76"/>
      <c r="H84" s="76"/>
      <c r="I84" s="76"/>
    </row>
    <row r="85" spans="1:18" ht="15">
      <c r="A85" s="76"/>
      <c r="B85" s="76"/>
      <c r="C85" s="76"/>
      <c r="D85" s="76"/>
      <c r="E85" s="76"/>
      <c r="F85" s="76"/>
      <c r="G85" s="76"/>
      <c r="H85" s="76"/>
      <c r="I85" s="76"/>
    </row>
    <row r="86" spans="1:18" ht="15">
      <c r="A86" s="76"/>
      <c r="B86" s="76"/>
      <c r="C86" s="76"/>
      <c r="D86" s="76"/>
      <c r="E86" s="76"/>
      <c r="F86" s="76"/>
      <c r="G86" s="76"/>
      <c r="H86" s="76"/>
      <c r="I86" s="76"/>
    </row>
    <row r="87" spans="1:18" ht="15">
      <c r="A87" s="76"/>
      <c r="B87" s="76"/>
      <c r="C87" s="76"/>
      <c r="D87" s="76"/>
      <c r="E87" s="76"/>
      <c r="F87" s="76"/>
      <c r="G87" s="76"/>
      <c r="H87" s="76"/>
      <c r="I87" s="76"/>
    </row>
    <row r="88" spans="1:18" ht="15">
      <c r="A88" s="76"/>
      <c r="B88" s="76"/>
      <c r="C88" s="76"/>
      <c r="D88" s="76"/>
      <c r="E88" s="76"/>
      <c r="F88" s="76"/>
      <c r="G88" s="76"/>
      <c r="H88" s="76"/>
      <c r="I88" s="76"/>
    </row>
    <row r="89" spans="1:18" ht="15">
      <c r="A89" s="76"/>
      <c r="B89" s="76"/>
      <c r="C89" s="76"/>
      <c r="D89" s="76"/>
      <c r="E89" s="76"/>
      <c r="F89" s="76"/>
      <c r="G89" s="76"/>
      <c r="H89" s="76"/>
      <c r="I89" s="76"/>
    </row>
    <row r="90" spans="1:18" ht="15">
      <c r="A90" s="76"/>
      <c r="B90" s="76"/>
      <c r="C90" s="76"/>
      <c r="D90" s="76"/>
      <c r="E90" s="76"/>
      <c r="F90" s="76"/>
      <c r="G90" s="76"/>
      <c r="H90" s="76"/>
      <c r="I90" s="76"/>
    </row>
    <row r="91" spans="1:18" ht="15">
      <c r="A91" s="76"/>
      <c r="B91" s="76"/>
      <c r="C91" s="76"/>
      <c r="D91" s="76"/>
      <c r="E91" s="76"/>
      <c r="F91" s="76"/>
      <c r="G91" s="76"/>
      <c r="H91" s="76"/>
      <c r="I91" s="76"/>
    </row>
    <row r="92" spans="1:18" ht="15">
      <c r="A92" s="76"/>
      <c r="B92" s="76"/>
      <c r="C92" s="76"/>
      <c r="D92" s="76"/>
      <c r="E92" s="76"/>
      <c r="F92" s="76"/>
      <c r="G92" s="76"/>
      <c r="H92" s="76"/>
      <c r="I92" s="76"/>
      <c r="M92" s="152"/>
      <c r="O92" s="152"/>
      <c r="P92" s="152"/>
      <c r="Q92" s="152"/>
      <c r="R92" s="152"/>
    </row>
    <row r="93" spans="1:18" ht="15">
      <c r="A93" s="76"/>
      <c r="B93" s="76"/>
      <c r="C93" s="76"/>
      <c r="D93" s="76"/>
      <c r="E93" s="76"/>
      <c r="F93" s="76"/>
      <c r="G93" s="76"/>
      <c r="H93" s="76"/>
      <c r="I93" s="76"/>
      <c r="J93" s="152"/>
    </row>
    <row r="94" spans="1:18" ht="15">
      <c r="A94" s="76"/>
      <c r="B94" s="76"/>
      <c r="C94" s="76"/>
      <c r="D94" s="76"/>
      <c r="E94" s="76"/>
      <c r="F94" s="76"/>
      <c r="G94" s="76"/>
      <c r="H94" s="76"/>
      <c r="I94" s="76"/>
      <c r="M94" s="152"/>
      <c r="O94" s="152"/>
      <c r="P94" s="152"/>
      <c r="Q94" s="152"/>
      <c r="R94" s="152"/>
    </row>
    <row r="95" spans="1:18" ht="15">
      <c r="A95" s="76"/>
      <c r="B95" s="76"/>
      <c r="C95" s="76"/>
      <c r="D95" s="76"/>
      <c r="E95" s="76"/>
      <c r="F95" s="76"/>
      <c r="G95" s="76"/>
      <c r="H95" s="76"/>
      <c r="I95" s="76"/>
    </row>
    <row r="96" spans="1:18" ht="15">
      <c r="A96" s="76"/>
      <c r="B96" s="76"/>
      <c r="C96" s="76"/>
      <c r="D96" s="76"/>
      <c r="E96" s="76"/>
      <c r="F96" s="76"/>
      <c r="G96" s="76"/>
      <c r="H96" s="76"/>
      <c r="I96" s="76"/>
    </row>
    <row r="97" spans="1:9" ht="15">
      <c r="A97" s="76"/>
      <c r="B97" s="76"/>
      <c r="C97" s="76"/>
      <c r="D97" s="76"/>
      <c r="E97" s="76"/>
      <c r="F97" s="76"/>
      <c r="G97" s="76"/>
      <c r="H97" s="76"/>
      <c r="I97" s="76"/>
    </row>
    <row r="98" spans="1:9" ht="15">
      <c r="A98" s="76"/>
      <c r="B98" s="76"/>
      <c r="C98" s="76"/>
      <c r="D98" s="76"/>
      <c r="E98" s="76"/>
      <c r="F98" s="76"/>
      <c r="G98" s="76"/>
      <c r="H98" s="76"/>
      <c r="I98" s="76"/>
    </row>
    <row r="99" spans="1:9" ht="15">
      <c r="A99" s="76"/>
      <c r="B99" s="76"/>
      <c r="C99" s="76"/>
      <c r="D99" s="76"/>
      <c r="E99" s="76"/>
      <c r="F99" s="76"/>
      <c r="G99" s="76"/>
      <c r="H99" s="76"/>
      <c r="I99" s="76"/>
    </row>
    <row r="100" spans="1:9" ht="15">
      <c r="A100" s="76"/>
      <c r="B100" s="76"/>
      <c r="C100" s="76"/>
      <c r="D100" s="76"/>
      <c r="E100" s="76"/>
      <c r="F100" s="76"/>
      <c r="G100" s="76"/>
      <c r="H100" s="76"/>
      <c r="I100" s="76"/>
    </row>
    <row r="101" spans="1:9" ht="15">
      <c r="A101" s="76"/>
      <c r="B101" s="76"/>
      <c r="C101" s="76"/>
      <c r="D101" s="76"/>
      <c r="E101" s="76"/>
      <c r="F101" s="76"/>
      <c r="G101" s="76"/>
      <c r="H101" s="76"/>
      <c r="I101" s="76"/>
    </row>
    <row r="119" spans="7:8">
      <c r="G119" s="33" t="s">
        <v>200</v>
      </c>
      <c r="H119" s="33">
        <f>+J188</f>
        <v>0</v>
      </c>
    </row>
    <row r="120" spans="7:8">
      <c r="H120" s="33">
        <f>+H119</f>
        <v>0</v>
      </c>
    </row>
  </sheetData>
  <mergeCells count="1">
    <mergeCell ref="B3:H3"/>
  </mergeCells>
  <phoneticPr fontId="21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2019-04-05T14:41:30Z</cp:lastPrinted>
  <dcterms:created xsi:type="dcterms:W3CDTF">1997-04-03T19:40:56Z</dcterms:created>
  <dcterms:modified xsi:type="dcterms:W3CDTF">2022-05-31T20:51:05Z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</Properties>
</file>