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N:\BHSC\BHC\Rates\BHE CLFP\FERC\TransmissionFormula Rate\CLFP Trans Form Rates 2024\"/>
    </mc:Choice>
  </mc:AlternateContent>
  <xr:revisionPtr revIDLastSave="0" documentId="13_ncr:1_{10E0163D-3CDC-42D5-B15B-F5789E32DED1}" xr6:coauthVersionLast="47" xr6:coauthVersionMax="47" xr10:uidLastSave="{00000000-0000-0000-0000-000000000000}"/>
  <bookViews>
    <workbookView xWindow="-120" yWindow="-120" windowWidth="29040" windowHeight="15720" tabRatio="890" firstSheet="4" activeTab="12" xr2:uid="{B9E99F5F-3937-4B68-B1A3-636B51A158D6}"/>
  </bookViews>
  <sheets>
    <sheet name="Table of Contents" sheetId="22" r:id="rId1"/>
    <sheet name="Act Att-H" sheetId="9" r:id="rId2"/>
    <sheet name="A1-RevCred" sheetId="4" r:id="rId3"/>
    <sheet name="A2-A&amp;G" sheetId="16" r:id="rId4"/>
    <sheet name="A3-ADIT" sheetId="15" r:id="rId5"/>
    <sheet name="A4-Rate Base" sheetId="23" r:id="rId6"/>
    <sheet name="A5-Depr" sheetId="3" r:id="rId7"/>
    <sheet name="A6-Divisor" sheetId="20" r:id="rId8"/>
    <sheet name="A7-IncentPlant" sheetId="29" r:id="rId9"/>
    <sheet name="A8-Prepmts" sheetId="39" r:id="rId10"/>
    <sheet name="A9-PermDiffs" sheetId="40" r:id="rId11"/>
    <sheet name="TU-TrueUp" sheetId="21" r:id="rId12"/>
    <sheet name="Proj Att-H" sheetId="25" r:id="rId13"/>
    <sheet name="P1-Trans Plant" sheetId="26" r:id="rId14"/>
    <sheet name="P2-Exp. &amp; Rev. Credits" sheetId="27" r:id="rId15"/>
    <sheet name="P3-Divisor" sheetId="28" r:id="rId16"/>
    <sheet name="P4-IncentPlant" sheetId="30" r:id="rId17"/>
    <sheet name="P5-ADIT" sheetId="37" r:id="rId18"/>
    <sheet name="Schedule 1" sheetId="31" r:id="rId19"/>
  </sheets>
  <externalReferences>
    <externalReference r:id="rId20"/>
    <externalReference r:id="rId21"/>
  </externalReferences>
  <definedNames>
    <definedName name="__123Graph_A" localSheetId="9" hidden="1">[1]Sheet3!#REF!</definedName>
    <definedName name="__123Graph_A" localSheetId="10" hidden="1">[1]Sheet3!#REF!</definedName>
    <definedName name="__123Graph_A" localSheetId="17" hidden="1">[1]Sheet3!#REF!</definedName>
    <definedName name="__123Graph_A" hidden="1">[1]Sheet3!#REF!</definedName>
    <definedName name="__123Graph_A1991" localSheetId="9" hidden="1">[1]Sheet3!#REF!</definedName>
    <definedName name="__123Graph_A1991" localSheetId="10" hidden="1">[1]Sheet3!#REF!</definedName>
    <definedName name="__123Graph_A1991" localSheetId="17" hidden="1">[1]Sheet3!#REF!</definedName>
    <definedName name="__123Graph_A1991" hidden="1">[1]Sheet3!#REF!</definedName>
    <definedName name="__123Graph_A1992" localSheetId="9" hidden="1">[1]Sheet3!#REF!</definedName>
    <definedName name="__123Graph_A1992" localSheetId="10" hidden="1">[1]Sheet3!#REF!</definedName>
    <definedName name="__123Graph_A1992" localSheetId="17" hidden="1">[1]Sheet3!#REF!</definedName>
    <definedName name="__123Graph_A1992" hidden="1">[1]Sheet3!#REF!</definedName>
    <definedName name="__123Graph_A1993" localSheetId="9" hidden="1">[1]Sheet3!#REF!</definedName>
    <definedName name="__123Graph_A1993" localSheetId="10" hidden="1">[1]Sheet3!#REF!</definedName>
    <definedName name="__123Graph_A1993" localSheetId="17" hidden="1">[1]Sheet3!#REF!</definedName>
    <definedName name="__123Graph_A1993" hidden="1">[1]Sheet3!#REF!</definedName>
    <definedName name="__123Graph_A1994" localSheetId="9" hidden="1">[1]Sheet3!#REF!</definedName>
    <definedName name="__123Graph_A1994" localSheetId="10" hidden="1">[1]Sheet3!#REF!</definedName>
    <definedName name="__123Graph_A1994" localSheetId="17" hidden="1">[1]Sheet3!#REF!</definedName>
    <definedName name="__123Graph_A1994" hidden="1">[1]Sheet3!#REF!</definedName>
    <definedName name="__123Graph_A1995" localSheetId="9" hidden="1">[1]Sheet3!#REF!</definedName>
    <definedName name="__123Graph_A1995" localSheetId="10" hidden="1">[1]Sheet3!#REF!</definedName>
    <definedName name="__123Graph_A1995" localSheetId="17" hidden="1">[1]Sheet3!#REF!</definedName>
    <definedName name="__123Graph_A1995" hidden="1">[1]Sheet3!#REF!</definedName>
    <definedName name="__123Graph_A1996" localSheetId="9" hidden="1">[1]Sheet3!#REF!</definedName>
    <definedName name="__123Graph_A1996" localSheetId="10" hidden="1">[1]Sheet3!#REF!</definedName>
    <definedName name="__123Graph_A1996" localSheetId="17" hidden="1">[1]Sheet3!#REF!</definedName>
    <definedName name="__123Graph_A1996" hidden="1">[1]Sheet3!#REF!</definedName>
    <definedName name="__123Graph_ABAR" localSheetId="9" hidden="1">[1]Sheet3!#REF!</definedName>
    <definedName name="__123Graph_ABAR" localSheetId="10" hidden="1">[1]Sheet3!#REF!</definedName>
    <definedName name="__123Graph_ABAR" localSheetId="17" hidden="1">[1]Sheet3!#REF!</definedName>
    <definedName name="__123Graph_ABAR" hidden="1">[1]Sheet3!#REF!</definedName>
    <definedName name="__123Graph_B" localSheetId="9" hidden="1">[1]Sheet3!#REF!</definedName>
    <definedName name="__123Graph_B" localSheetId="10" hidden="1">[1]Sheet3!#REF!</definedName>
    <definedName name="__123Graph_B" localSheetId="17" hidden="1">[1]Sheet3!#REF!</definedName>
    <definedName name="__123Graph_B" hidden="1">[1]Sheet3!#REF!</definedName>
    <definedName name="__123Graph_B1991" localSheetId="9" hidden="1">[1]Sheet3!#REF!</definedName>
    <definedName name="__123Graph_B1991" localSheetId="10" hidden="1">[1]Sheet3!#REF!</definedName>
    <definedName name="__123Graph_B1991" localSheetId="17" hidden="1">[1]Sheet3!#REF!</definedName>
    <definedName name="__123Graph_B1991" hidden="1">[1]Sheet3!#REF!</definedName>
    <definedName name="__123Graph_B1992" localSheetId="9" hidden="1">[1]Sheet3!#REF!</definedName>
    <definedName name="__123Graph_B1992" localSheetId="10" hidden="1">[1]Sheet3!#REF!</definedName>
    <definedName name="__123Graph_B1992" localSheetId="17" hidden="1">[1]Sheet3!#REF!</definedName>
    <definedName name="__123Graph_B1992" hidden="1">[1]Sheet3!#REF!</definedName>
    <definedName name="__123Graph_B1993" localSheetId="9" hidden="1">[1]Sheet3!#REF!</definedName>
    <definedName name="__123Graph_B1993" localSheetId="10" hidden="1">[1]Sheet3!#REF!</definedName>
    <definedName name="__123Graph_B1993" localSheetId="17" hidden="1">[1]Sheet3!#REF!</definedName>
    <definedName name="__123Graph_B1993" hidden="1">[1]Sheet3!#REF!</definedName>
    <definedName name="__123Graph_B1994" localSheetId="9" hidden="1">[1]Sheet3!#REF!</definedName>
    <definedName name="__123Graph_B1994" localSheetId="10" hidden="1">[1]Sheet3!#REF!</definedName>
    <definedName name="__123Graph_B1994" localSheetId="17" hidden="1">[1]Sheet3!#REF!</definedName>
    <definedName name="__123Graph_B1994" hidden="1">[1]Sheet3!#REF!</definedName>
    <definedName name="__123Graph_B1995" localSheetId="9" hidden="1">[1]Sheet3!#REF!</definedName>
    <definedName name="__123Graph_B1995" localSheetId="10" hidden="1">[1]Sheet3!#REF!</definedName>
    <definedName name="__123Graph_B1995" localSheetId="17" hidden="1">[1]Sheet3!#REF!</definedName>
    <definedName name="__123Graph_B1995" hidden="1">[1]Sheet3!#REF!</definedName>
    <definedName name="__123Graph_B1996" localSheetId="9" hidden="1">[1]Sheet3!#REF!</definedName>
    <definedName name="__123Graph_B1996" localSheetId="10" hidden="1">[1]Sheet3!#REF!</definedName>
    <definedName name="__123Graph_B1996" localSheetId="17" hidden="1">[1]Sheet3!#REF!</definedName>
    <definedName name="__123Graph_B1996" hidden="1">[1]Sheet3!#REF!</definedName>
    <definedName name="__123Graph_BBAR" localSheetId="9" hidden="1">[1]Sheet3!#REF!</definedName>
    <definedName name="__123Graph_BBAR" localSheetId="10" hidden="1">[1]Sheet3!#REF!</definedName>
    <definedName name="__123Graph_BBAR" localSheetId="17" hidden="1">[1]Sheet3!#REF!</definedName>
    <definedName name="__123Graph_BBAR" hidden="1">[1]Sheet3!#REF!</definedName>
    <definedName name="__123Graph_CBAR" localSheetId="9" hidden="1">[1]Sheet3!#REF!</definedName>
    <definedName name="__123Graph_CBAR" localSheetId="10" hidden="1">[1]Sheet3!#REF!</definedName>
    <definedName name="__123Graph_CBAR" localSheetId="17" hidden="1">[1]Sheet3!#REF!</definedName>
    <definedName name="__123Graph_CBAR" hidden="1">[1]Sheet3!#REF!</definedName>
    <definedName name="__123Graph_DBAR" localSheetId="9" hidden="1">[1]Sheet3!#REF!</definedName>
    <definedName name="__123Graph_DBAR" localSheetId="10" hidden="1">[1]Sheet3!#REF!</definedName>
    <definedName name="__123Graph_DBAR" localSheetId="17" hidden="1">[1]Sheet3!#REF!</definedName>
    <definedName name="__123Graph_DBAR" hidden="1">[1]Sheet3!#REF!</definedName>
    <definedName name="__123Graph_EBAR" localSheetId="9" hidden="1">[1]Sheet3!#REF!</definedName>
    <definedName name="__123Graph_EBAR" localSheetId="10" hidden="1">[1]Sheet3!#REF!</definedName>
    <definedName name="__123Graph_EBAR" localSheetId="17" hidden="1">[1]Sheet3!#REF!</definedName>
    <definedName name="__123Graph_EBAR" hidden="1">[1]Sheet3!#REF!</definedName>
    <definedName name="__123Graph_FBAR" localSheetId="9" hidden="1">[1]Sheet3!#REF!</definedName>
    <definedName name="__123Graph_FBAR" localSheetId="10" hidden="1">[1]Sheet3!#REF!</definedName>
    <definedName name="__123Graph_FBAR" localSheetId="17" hidden="1">[1]Sheet3!#REF!</definedName>
    <definedName name="__123Graph_FBAR" hidden="1">[1]Sheet3!#REF!</definedName>
    <definedName name="__123Graph_X" localSheetId="9" hidden="1">[1]Sheet3!#REF!</definedName>
    <definedName name="__123Graph_X" localSheetId="10" hidden="1">[1]Sheet3!#REF!</definedName>
    <definedName name="__123Graph_X" localSheetId="17" hidden="1">[1]Sheet3!#REF!</definedName>
    <definedName name="__123Graph_X" hidden="1">[1]Sheet3!#REF!</definedName>
    <definedName name="__123Graph_X1991" localSheetId="9" hidden="1">[1]Sheet3!#REF!</definedName>
    <definedName name="__123Graph_X1991" localSheetId="10" hidden="1">[1]Sheet3!#REF!</definedName>
    <definedName name="__123Graph_X1991" localSheetId="17" hidden="1">[1]Sheet3!#REF!</definedName>
    <definedName name="__123Graph_X1991" hidden="1">[1]Sheet3!#REF!</definedName>
    <definedName name="__123Graph_X1992" localSheetId="9" hidden="1">[1]Sheet3!#REF!</definedName>
    <definedName name="__123Graph_X1992" localSheetId="10" hidden="1">[1]Sheet3!#REF!</definedName>
    <definedName name="__123Graph_X1992" localSheetId="17" hidden="1">[1]Sheet3!#REF!</definedName>
    <definedName name="__123Graph_X1992" hidden="1">[1]Sheet3!#REF!</definedName>
    <definedName name="__123Graph_X1993" localSheetId="9" hidden="1">[1]Sheet3!#REF!</definedName>
    <definedName name="__123Graph_X1993" localSheetId="10" hidden="1">[1]Sheet3!#REF!</definedName>
    <definedName name="__123Graph_X1993" localSheetId="17" hidden="1">[1]Sheet3!#REF!</definedName>
    <definedName name="__123Graph_X1993" hidden="1">[1]Sheet3!#REF!</definedName>
    <definedName name="__123Graph_X1994" localSheetId="9" hidden="1">[1]Sheet3!#REF!</definedName>
    <definedName name="__123Graph_X1994" localSheetId="10" hidden="1">[1]Sheet3!#REF!</definedName>
    <definedName name="__123Graph_X1994" localSheetId="17" hidden="1">[1]Sheet3!#REF!</definedName>
    <definedName name="__123Graph_X1994" hidden="1">[1]Sheet3!#REF!</definedName>
    <definedName name="__123Graph_X1995" localSheetId="9" hidden="1">[1]Sheet3!#REF!</definedName>
    <definedName name="__123Graph_X1995" localSheetId="10" hidden="1">[1]Sheet3!#REF!</definedName>
    <definedName name="__123Graph_X1995" localSheetId="17" hidden="1">[1]Sheet3!#REF!</definedName>
    <definedName name="__123Graph_X1995" hidden="1">[1]Sheet3!#REF!</definedName>
    <definedName name="__123Graph_X1996" localSheetId="9" hidden="1">[1]Sheet3!#REF!</definedName>
    <definedName name="__123Graph_X1996" localSheetId="10" hidden="1">[1]Sheet3!#REF!</definedName>
    <definedName name="__123Graph_X1996" localSheetId="17" hidden="1">[1]Sheet3!#REF!</definedName>
    <definedName name="__123Graph_X1996" hidden="1">[1]Sheet3!#REF!</definedName>
    <definedName name="__tet12" localSheetId="17" hidden="1">{"assumptions",#N/A,FALSE,"Scenario 1";"valuation",#N/A,FALSE,"Scenario 1"}</definedName>
    <definedName name="__tet12" hidden="1">{"assumptions",#N/A,FALSE,"Scenario 1";"valuation",#N/A,FALSE,"Scenario 1"}</definedName>
    <definedName name="__tet5" localSheetId="17" hidden="1">{"assumptions",#N/A,FALSE,"Scenario 1";"valuation",#N/A,FALSE,"Scenario 1"}</definedName>
    <definedName name="__tet5" hidden="1">{"assumptions",#N/A,FALSE,"Scenario 1";"valuation",#N/A,FALSE,"Scenario 1"}</definedName>
    <definedName name="_FEB01" localSheetId="17" hidden="1">{#N/A,#N/A,FALSE,"EMPPAY"}</definedName>
    <definedName name="_FEB01" hidden="1">{#N/A,#N/A,FALSE,"EMPPAY"}</definedName>
    <definedName name="_Fill" localSheetId="9" hidden="1">'[2]Exp Detail'!#REF!</definedName>
    <definedName name="_Fill" localSheetId="10" hidden="1">'[2]Exp Detail'!#REF!</definedName>
    <definedName name="_Fill" hidden="1">'[2]Exp Detail'!#REF!</definedName>
    <definedName name="_JAN01" localSheetId="17" hidden="1">{#N/A,#N/A,FALSE,"EMPPAY"}</definedName>
    <definedName name="_JAN01" hidden="1">{#N/A,#N/A,FALSE,"EMPPAY"}</definedName>
    <definedName name="_JAN2001" localSheetId="17" hidden="1">{#N/A,#N/A,FALSE,"EMPPAY"}</definedName>
    <definedName name="_JAN2001" hidden="1">{#N/A,#N/A,FALSE,"EMPPAY"}</definedName>
    <definedName name="_Key1" localSheetId="9" hidden="1">'[2]Exp Detail'!#REF!</definedName>
    <definedName name="_Key1" localSheetId="10" hidden="1">'[2]Exp Detail'!#REF!</definedName>
    <definedName name="_Key1" hidden="1">'[2]Exp Detail'!#REF!</definedName>
    <definedName name="_Order1" hidden="1">255</definedName>
    <definedName name="_Order2" hidden="1">255</definedName>
    <definedName name="_Sort" localSheetId="7" hidden="1">#REF!</definedName>
    <definedName name="_Sort" localSheetId="8" hidden="1">#REF!</definedName>
    <definedName name="_Sort" localSheetId="9" hidden="1">#REF!</definedName>
    <definedName name="_Sort" localSheetId="10" hidden="1">#REF!</definedName>
    <definedName name="_Sort" localSheetId="16" hidden="1">#REF!</definedName>
    <definedName name="_Sort" localSheetId="17" hidden="1">#REF!</definedName>
    <definedName name="_Sort" localSheetId="12" hidden="1">#REF!</definedName>
    <definedName name="_Sort" hidden="1">#REF!</definedName>
    <definedName name="_sort2" localSheetId="7" hidden="1">#REF!</definedName>
    <definedName name="_sort2" localSheetId="8" hidden="1">#REF!</definedName>
    <definedName name="_sort2" localSheetId="9" hidden="1">#REF!</definedName>
    <definedName name="_sort2" localSheetId="10" hidden="1">#REF!</definedName>
    <definedName name="_sort2" localSheetId="16" hidden="1">#REF!</definedName>
    <definedName name="_sort2" localSheetId="17" hidden="1">#REF!</definedName>
    <definedName name="_sort2" localSheetId="12" hidden="1">#REF!</definedName>
    <definedName name="_sort2" hidden="1">#REF!</definedName>
    <definedName name="_tet12" localSheetId="17" hidden="1">{"assumptions",#N/A,FALSE,"Scenario 1";"valuation",#N/A,FALSE,"Scenario 1"}</definedName>
    <definedName name="_tet12" hidden="1">{"assumptions",#N/A,FALSE,"Scenario 1";"valuation",#N/A,FALSE,"Scenario 1"}</definedName>
    <definedName name="_tet5" localSheetId="17" hidden="1">{"assumptions",#N/A,FALSE,"Scenario 1";"valuation",#N/A,FALSE,"Scenario 1"}</definedName>
    <definedName name="_tet5" hidden="1">{"assumptions",#N/A,FALSE,"Scenario 1";"valuation",#N/A,FALSE,"Scenario 1"}</definedName>
    <definedName name="a" localSheetId="17" hidden="1">{"LBO Summary",#N/A,FALSE,"Summary"}</definedName>
    <definedName name="a" hidden="1">{"LBO Summary",#N/A,FALSE,"Summary"}</definedName>
    <definedName name="Alignment" hidden="1">"a1"</definedName>
    <definedName name="AS2DocOpenMode" hidden="1">"AS2DocumentEdit"</definedName>
    <definedName name="CE">'Act Att-H'!$G$57</definedName>
    <definedName name="ClientMatter" hidden="1">"b1"</definedName>
    <definedName name="DA">1</definedName>
    <definedName name="Date" hidden="1">"b1"</definedName>
    <definedName name="DEC00" localSheetId="17" hidden="1">{#N/A,#N/A,FALSE,"ARREC"}</definedName>
    <definedName name="DEC00" hidden="1">{#N/A,#N/A,FALSE,"ARREC"}</definedName>
    <definedName name="DocumentName" hidden="1">"b1"</definedName>
    <definedName name="DocumentNum" hidden="1">"a1"</definedName>
    <definedName name="FEB00" localSheetId="17" hidden="1">{#N/A,#N/A,FALSE,"ARREC"}</definedName>
    <definedName name="FEB00" hidden="1">{#N/A,#N/A,FALSE,"ARREC"}</definedName>
    <definedName name="GP">'Act Att-H'!$G$50</definedName>
    <definedName name="Library" hidden="1">"a1"</definedName>
    <definedName name="MAY" localSheetId="17" hidden="1">{#N/A,#N/A,FALSE,"EMPPAY"}</definedName>
    <definedName name="MAY" hidden="1">{#N/A,#N/A,FALSE,"EMPPAY"}</definedName>
    <definedName name="NA">0</definedName>
    <definedName name="NP">'Act Att-H'!$G$66</definedName>
    <definedName name="_xlnm.Print_Area" localSheetId="3">'A2-A&amp;G'!$A$1:$D$38</definedName>
    <definedName name="_xlnm.Print_Area" localSheetId="4">'A3-ADIT'!$A$1:$I$43</definedName>
    <definedName name="_xlnm.Print_Area" localSheetId="8">'A7-IncentPlant'!$A$1:$O$48</definedName>
    <definedName name="_xlnm.Print_Area" localSheetId="1">'Act Att-H'!$A$1:$K$262</definedName>
    <definedName name="_xlnm.Print_Area" localSheetId="13">'P1-Trans Plant'!$A$1:$AA$49</definedName>
    <definedName name="_xlnm.Print_Area" localSheetId="17">'P5-ADIT'!$A$1:$J$175</definedName>
    <definedName name="_xlnm.Print_Area" localSheetId="12">'Proj Att-H'!$A$1:$K$257</definedName>
    <definedName name="_xlnm.Print_Area" localSheetId="11">'TU-TrueUp'!$A$1:$I$66</definedName>
    <definedName name="_xlnm.Print_Titles" localSheetId="13">'P1-Trans Plant'!$A:$F</definedName>
    <definedName name="TE">'Act Att-H'!$I$183</definedName>
    <definedName name="test" localSheetId="17" hidden="1">{"LBO Summary",#N/A,FALSE,"Summary"}</definedName>
    <definedName name="test" hidden="1">{"LBO Summary",#N/A,FALSE,"Summary"}</definedName>
    <definedName name="test1" localSheetId="17" hidden="1">{"LBO Summary",#N/A,FALSE,"Summary";"Income Statement",#N/A,FALSE,"Model";"Cash Flow",#N/A,FALSE,"Model";"Balance Sheet",#N/A,FALSE,"Model";"Working Capital",#N/A,FALSE,"Model";"Pro Forma Balance Sheets",#N/A,FALSE,"PFBS";"Debt Balances",#N/A,FALSE,"Model";"Fee Schedules",#N/A,FALSE,"Model"}</definedName>
    <definedName name="test1" hidden="1">{"LBO Summary",#N/A,FALSE,"Summary";"Income Statement",#N/A,FALSE,"Model";"Cash Flow",#N/A,FALSE,"Model";"Balance Sheet",#N/A,FALSE,"Model";"Working Capital",#N/A,FALSE,"Model";"Pro Forma Balance Sheets",#N/A,FALSE,"PFBS";"Debt Balances",#N/A,FALSE,"Model";"Fee Schedules",#N/A,FALSE,"Model"}</definedName>
    <definedName name="test10" localSheetId="17" hidden="1">{"LBO Summary",#N/A,FALSE,"Summary";"Income Statement",#N/A,FALSE,"Model";"Cash Flow",#N/A,FALSE,"Model";"Balance Sheet",#N/A,FALSE,"Model";"Working Capital",#N/A,FALSE,"Model";"Pro Forma Balance Sheets",#N/A,FALSE,"PFBS";"Debt Balances",#N/A,FALSE,"Model";"Fee Schedules",#N/A,FALSE,"Model"}</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localSheetId="17" hidden="1">{"LBO Summary",#N/A,FALSE,"Summary"}</definedName>
    <definedName name="test11" hidden="1">{"LBO Summary",#N/A,FALSE,"Summary"}</definedName>
    <definedName name="test12" localSheetId="17" hidden="1">{"assumptions",#N/A,FALSE,"Scenario 1";"valuation",#N/A,FALSE,"Scenario 1"}</definedName>
    <definedName name="test12" hidden="1">{"assumptions",#N/A,FALSE,"Scenario 1";"valuation",#N/A,FALSE,"Scenario 1"}</definedName>
    <definedName name="test13" localSheetId="17" hidden="1">{"LBO Summary",#N/A,FALSE,"Summary"}</definedName>
    <definedName name="test13" hidden="1">{"LBO Summary",#N/A,FALSE,"Summary"}</definedName>
    <definedName name="test14" localSheetId="17" hidden="1">{"LBO Summary",#N/A,FALSE,"Summary";"Income Statement",#N/A,FALSE,"Model";"Cash Flow",#N/A,FALSE,"Model";"Balance Sheet",#N/A,FALSE,"Model";"Working Capital",#N/A,FALSE,"Model";"Pro Forma Balance Sheets",#N/A,FALSE,"PFBS";"Debt Balances",#N/A,FALSE,"Model";"Fee Schedules",#N/A,FALSE,"Model"}</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localSheetId="17"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localSheetId="17"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localSheetId="17" hidden="1">{"LBO Summary",#N/A,FALSE,"Summary"}</definedName>
    <definedName name="test2" hidden="1">{"LBO Summary",#N/A,FALSE,"Summary"}</definedName>
    <definedName name="test4" localSheetId="17" hidden="1">{"assumptions",#N/A,FALSE,"Scenario 1";"valuation",#N/A,FALSE,"Scenario 1"}</definedName>
    <definedName name="test4" hidden="1">{"assumptions",#N/A,FALSE,"Scenario 1";"valuation",#N/A,FALSE,"Scenario 1"}</definedName>
    <definedName name="test6" localSheetId="17" hidden="1">{"LBO Summary",#N/A,FALSE,"Summary"}</definedName>
    <definedName name="test6" hidden="1">{"LBO Summary",#N/A,FALSE,"Summary"}</definedName>
    <definedName name="TextRefCopyRangeCount" hidden="1">1</definedName>
    <definedName name="Time" hidden="1">"b1"</definedName>
    <definedName name="TP">'Act Att-H'!$I$174</definedName>
    <definedName name="Typist" hidden="1">"b1"</definedName>
    <definedName name="Value" localSheetId="17" hidden="1">{"assumptions",#N/A,FALSE,"Scenario 1";"valuation",#N/A,FALSE,"Scenario 1"}</definedName>
    <definedName name="Value" hidden="1">{"assumptions",#N/A,FALSE,"Scenario 1";"valuation",#N/A,FALSE,"Scenario 1"}</definedName>
    <definedName name="Version" hidden="1">"a1"</definedName>
    <definedName name="WCLTD">'Act Att-H'!$I$212</definedName>
    <definedName name="wrn.ARREC." localSheetId="17" hidden="1">{#N/A,#N/A,FALSE,"ARREC"}</definedName>
    <definedName name="wrn.ARREC." hidden="1">{#N/A,#N/A,FALSE,"ARREC"}</definedName>
    <definedName name="wrn.CP._.Demand." localSheetId="17" hidden="1">{"Retail CP pg1",#N/A,FALSE,"FACTOR3";"Retail CP pg2",#N/A,FALSE,"FACTOR3";"Retail CP pg3",#N/A,FALSE,"FACTOR3"}</definedName>
    <definedName name="wrn.CP._.Demand." hidden="1">{"Retail CP pg1",#N/A,FALSE,"FACTOR3";"Retail CP pg2",#N/A,FALSE,"FACTOR3";"Retail CP pg3",#N/A,FALSE,"FACTOR3"}</definedName>
    <definedName name="wrn.CP._.Demand2." localSheetId="17" hidden="1">{"Retail CP pg1",#N/A,FALSE,"FACTOR3";"Retail CP pg2",#N/A,FALSE,"FACTOR3";"Retail CP pg3",#N/A,FALSE,"FACTOR3"}</definedName>
    <definedName name="wrn.CP._.Demand2." hidden="1">{"Retail CP pg1",#N/A,FALSE,"FACTOR3";"Retail CP pg2",#N/A,FALSE,"FACTOR3";"Retail CP pg3",#N/A,FALSE,"FACTOR3"}</definedName>
    <definedName name="wrn.EMPPAY." localSheetId="17" hidden="1">{#N/A,#N/A,FALSE,"EMPPAY"}</definedName>
    <definedName name="wrn.EMPPAY." hidden="1">{#N/A,#N/A,FALSE,"EMPPAY"}</definedName>
    <definedName name="wrn.IPO._.Valuation." localSheetId="17" hidden="1">{"assumptions",#N/A,FALSE,"Scenario 1";"valuation",#N/A,FALSE,"Scenario 1"}</definedName>
    <definedName name="wrn.IPO._.Valuation." hidden="1">{"assumptions",#N/A,FALSE,"Scenario 1";"valuation",#N/A,FALSE,"Scenario 1"}</definedName>
    <definedName name="wrn.LBO._.Summary." localSheetId="17" hidden="1">{"LBO Summary",#N/A,FALSE,"Summary"}</definedName>
    <definedName name="wrn.LBO._.Summary." hidden="1">{"LBO Summary",#N/A,FALSE,"Summary"}</definedName>
    <definedName name="wrn.Print._.All._.Pages." localSheetId="17"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S">'Act Att-H'!$I$191</definedName>
    <definedName name="xx" localSheetId="17" hidden="1">{#N/A,#N/A,FALSE,"EMPPAY"}</definedName>
    <definedName name="xx" hidden="1">{#N/A,#N/A,FALSE,"EMPPAY"}</definedName>
    <definedName name="Z_5C332329_7D4E_4C16_8567_CAD656F9D2F1_.wvu.PrintArea" localSheetId="11" hidden="1">'TU-TrueUp'!$A$2:$I$65</definedName>
    <definedName name="Z_5C332329_7D4E_4C16_8567_CAD656F9D2F1_.wvu.PrintTitles" localSheetId="11" hidden="1">'TU-TrueUp'!$2:$4</definedName>
    <definedName name="Z_F04A2B9A_C6FE_4FEB_AD1E_2CF9AC309BE4_.wvu.PrintArea" localSheetId="5" hidden="1">'A4-Rate Base'!$A$1:$I$120</definedName>
    <definedName name="Z_F04A2B9A_C6FE_4FEB_AD1E_2CF9AC309BE4_.wvu.PrintArea" localSheetId="8" hidden="1">'A7-IncentPlant'!$A$1:$L$129</definedName>
    <definedName name="Z_F04A2B9A_C6FE_4FEB_AD1E_2CF9AC309BE4_.wvu.PrintArea" localSheetId="16" hidden="1">'P4-IncentPlant'!$A$1:$L$135</definedName>
    <definedName name="Z_FAA8FFD9_C96B_4A1B_8B9E_B863FD90DDBA_.wvu.PrintArea" localSheetId="13" hidden="1">'P1-Trans Plant'!$A$1:$AN$46</definedName>
    <definedName name="Z_FAA8FFD9_C96B_4A1B_8B9E_B863FD90DDBA_.wvu.PrintArea" localSheetId="15" hidden="1">'P3-Divisor'!$A$1:$O$30</definedName>
    <definedName name="Z_FAA8FFD9_C96B_4A1B_8B9E_B863FD90DDBA_.wvu.PrintTitles" localSheetId="13" hidden="1">'P1-Trans Plant'!$A:$F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0" i="30" l="1"/>
  <c r="B21" i="30"/>
  <c r="B22" i="30"/>
  <c r="B23" i="30"/>
  <c r="B24" i="30"/>
  <c r="B25" i="30"/>
  <c r="B26" i="30"/>
  <c r="B27" i="30"/>
  <c r="B28" i="30"/>
  <c r="B29" i="30"/>
  <c r="B30" i="30"/>
  <c r="B31" i="30"/>
  <c r="B32" i="30"/>
  <c r="B33" i="30"/>
  <c r="B34" i="30"/>
  <c r="B35" i="30"/>
  <c r="B36" i="30"/>
  <c r="B37" i="30"/>
  <c r="B38" i="30"/>
  <c r="B39" i="30"/>
  <c r="B40" i="30"/>
  <c r="B41" i="30"/>
  <c r="B42" i="30"/>
  <c r="B19" i="30"/>
  <c r="D9" i="31" l="1"/>
  <c r="F23" i="15" l="1"/>
  <c r="H82" i="23" l="1"/>
  <c r="G82" i="23"/>
  <c r="F82" i="23"/>
  <c r="E82" i="23"/>
  <c r="D82" i="23"/>
  <c r="C46" i="23"/>
  <c r="D23" i="16" l="1"/>
  <c r="D25" i="16" s="1"/>
  <c r="I206" i="9" l="1"/>
  <c r="I200" i="9"/>
  <c r="D190" i="9" l="1"/>
  <c r="D127" i="9" l="1"/>
  <c r="D120" i="9"/>
  <c r="D106" i="9"/>
  <c r="I178" i="9" s="1"/>
  <c r="B54" i="25" l="1"/>
  <c r="B55" i="25"/>
  <c r="N25" i="4" l="1"/>
  <c r="D14" i="16" l="1"/>
  <c r="N24" i="4" l="1"/>
  <c r="F110" i="9"/>
  <c r="G213" i="9" l="1"/>
  <c r="G111" i="23" l="1"/>
  <c r="E33" i="39" l="1"/>
  <c r="F11" i="40" l="1"/>
  <c r="F9" i="40"/>
  <c r="H13" i="39" l="1"/>
  <c r="H14" i="39"/>
  <c r="H17" i="39"/>
  <c r="J19" i="29" l="1"/>
  <c r="N19" i="29" l="1"/>
  <c r="G18" i="39" l="1"/>
  <c r="G19" i="39"/>
  <c r="G20" i="39"/>
  <c r="G21" i="39"/>
  <c r="G22" i="39"/>
  <c r="G23" i="39"/>
  <c r="G24" i="39"/>
  <c r="G25" i="39"/>
  <c r="G26" i="39"/>
  <c r="G27" i="39"/>
  <c r="G28" i="39"/>
  <c r="G29" i="39"/>
  <c r="G30" i="39"/>
  <c r="G31" i="39"/>
  <c r="G32" i="39"/>
  <c r="I70" i="23" l="1"/>
  <c r="E34" i="39" s="1"/>
  <c r="E35" i="39" s="1"/>
  <c r="D191" i="25"/>
  <c r="D190" i="25"/>
  <c r="F32" i="15" l="1"/>
  <c r="I32" i="15" s="1"/>
  <c r="F31" i="15"/>
  <c r="I31" i="15" s="1"/>
  <c r="F30" i="15"/>
  <c r="I30" i="15" s="1"/>
  <c r="F29" i="15"/>
  <c r="I29" i="15" s="1"/>
  <c r="F28" i="15"/>
  <c r="I28" i="15" s="1"/>
  <c r="F34" i="15" l="1"/>
  <c r="I34" i="15"/>
  <c r="D80" i="9" s="1"/>
  <c r="H22" i="39" l="1"/>
  <c r="H21" i="39"/>
  <c r="H20" i="39"/>
  <c r="H19" i="39"/>
  <c r="H18" i="39"/>
  <c r="G11" i="40"/>
  <c r="G9" i="40"/>
  <c r="A3" i="40"/>
  <c r="H23" i="39" l="1"/>
  <c r="H24" i="39"/>
  <c r="H25" i="39"/>
  <c r="H26" i="39"/>
  <c r="H27" i="39"/>
  <c r="H28" i="39"/>
  <c r="H29" i="39"/>
  <c r="H30" i="39"/>
  <c r="H31" i="39"/>
  <c r="H32" i="39"/>
  <c r="A3" i="39"/>
  <c r="A44" i="37" l="1"/>
  <c r="H152" i="37" l="1"/>
  <c r="J27" i="37" l="1"/>
  <c r="J135" i="37"/>
  <c r="J26" i="37"/>
  <c r="J98" i="37"/>
  <c r="G113" i="23"/>
  <c r="D143" i="9" s="1"/>
  <c r="J28" i="37" l="1"/>
  <c r="D139" i="25"/>
  <c r="J29" i="37"/>
  <c r="J31" i="37" s="1"/>
  <c r="F21" i="15"/>
  <c r="F20" i="15"/>
  <c r="F19" i="15"/>
  <c r="D69" i="25" l="1"/>
  <c r="F22" i="15"/>
  <c r="F24" i="15" s="1"/>
  <c r="D79" i="9" s="1"/>
  <c r="A19" i="15"/>
  <c r="A20" i="15" s="1"/>
  <c r="A21" i="15" s="1"/>
  <c r="A22" i="15" s="1"/>
  <c r="A23" i="15" s="1"/>
  <c r="A24" i="15" s="1"/>
  <c r="A25" i="15" s="1"/>
  <c r="A26" i="15" s="1"/>
  <c r="A27" i="15" s="1"/>
  <c r="A28" i="15" s="1"/>
  <c r="A29" i="15" s="1"/>
  <c r="A30" i="15" s="1"/>
  <c r="A31" i="15" s="1"/>
  <c r="A32" i="15" s="1"/>
  <c r="A33" i="15" s="1"/>
  <c r="A34" i="15" s="1"/>
  <c r="J168" i="37" l="1"/>
  <c r="J169" i="37" s="1"/>
  <c r="F163" i="37"/>
  <c r="F152" i="37"/>
  <c r="B136" i="37"/>
  <c r="J134" i="37"/>
  <c r="H130" i="37"/>
  <c r="F129" i="37"/>
  <c r="I129" i="37" s="1"/>
  <c r="A108" i="37"/>
  <c r="A107" i="37"/>
  <c r="F95" i="37"/>
  <c r="A74" i="37"/>
  <c r="A73" i="37"/>
  <c r="B68" i="37"/>
  <c r="J66" i="37"/>
  <c r="H62" i="37"/>
  <c r="F61" i="37"/>
  <c r="I61" i="37" s="1"/>
  <c r="A40" i="37"/>
  <c r="A142" i="37" s="1"/>
  <c r="A39" i="37"/>
  <c r="A141" i="37" s="1"/>
  <c r="F23" i="37"/>
  <c r="A7" i="37"/>
  <c r="A9" i="37" s="1"/>
  <c r="A10" i="37" s="1"/>
  <c r="A11" i="37" s="1"/>
  <c r="J65" i="37" l="1"/>
  <c r="H96" i="37"/>
  <c r="I95" i="37"/>
  <c r="J133" i="37"/>
  <c r="A12" i="37"/>
  <c r="A13" i="37" s="1"/>
  <c r="A14" i="37" s="1"/>
  <c r="A15" i="37" s="1"/>
  <c r="A16" i="37" s="1"/>
  <c r="A17" i="37" s="1"/>
  <c r="A18" i="37" s="1"/>
  <c r="A19" i="37" s="1"/>
  <c r="A20" i="37" s="1"/>
  <c r="A21" i="37" s="1"/>
  <c r="A22" i="37" s="1"/>
  <c r="A23" i="37" s="1"/>
  <c r="F13" i="37"/>
  <c r="F51" i="37"/>
  <c r="I51" i="37" s="1"/>
  <c r="F119" i="37"/>
  <c r="I119" i="37" s="1"/>
  <c r="F12" i="37"/>
  <c r="F85" i="37"/>
  <c r="I85" i="37" s="1"/>
  <c r="A109" i="37"/>
  <c r="A75" i="37"/>
  <c r="A41" i="37"/>
  <c r="A143" i="37" s="1"/>
  <c r="F50" i="37"/>
  <c r="I50" i="37" s="1"/>
  <c r="F84" i="37"/>
  <c r="I84" i="37" s="1"/>
  <c r="F118" i="37"/>
  <c r="I118" i="37" s="1"/>
  <c r="J84" i="37" l="1"/>
  <c r="J85" i="37" s="1"/>
  <c r="J118" i="37"/>
  <c r="J119" i="37" s="1"/>
  <c r="F120" i="37"/>
  <c r="I120" i="37" s="1"/>
  <c r="F14" i="37"/>
  <c r="F153" i="37"/>
  <c r="J50" i="37"/>
  <c r="J51" i="37" s="1"/>
  <c r="A24" i="37"/>
  <c r="A26" i="37" s="1"/>
  <c r="F86" i="37"/>
  <c r="I86" i="37" s="1"/>
  <c r="F52" i="37"/>
  <c r="I52" i="37" s="1"/>
  <c r="F15" i="37" l="1"/>
  <c r="F53" i="37"/>
  <c r="I53" i="37" s="1"/>
  <c r="F87" i="37"/>
  <c r="I87" i="37" s="1"/>
  <c r="A27" i="37"/>
  <c r="A28" i="37" s="1"/>
  <c r="F154" i="37"/>
  <c r="J120" i="37"/>
  <c r="F121" i="37"/>
  <c r="I121" i="37" s="1"/>
  <c r="J52" i="37"/>
  <c r="J86" i="37"/>
  <c r="J53" i="37" l="1"/>
  <c r="A29" i="37"/>
  <c r="F54" i="37"/>
  <c r="I54" i="37" s="1"/>
  <c r="F16" i="37"/>
  <c r="F122" i="37"/>
  <c r="I122" i="37" s="1"/>
  <c r="F155" i="37"/>
  <c r="F88" i="37"/>
  <c r="I88" i="37" s="1"/>
  <c r="J121" i="37"/>
  <c r="J87" i="37"/>
  <c r="J54" i="37" l="1"/>
  <c r="F156" i="37"/>
  <c r="J122" i="37"/>
  <c r="F55" i="37"/>
  <c r="I55" i="37" s="1"/>
  <c r="J55" i="37" s="1"/>
  <c r="F123" i="37"/>
  <c r="I123" i="37" s="1"/>
  <c r="J88" i="37"/>
  <c r="A30" i="37"/>
  <c r="A31" i="37" s="1"/>
  <c r="F89" i="37"/>
  <c r="I89" i="37" s="1"/>
  <c r="F17" i="37"/>
  <c r="J89" i="37" l="1"/>
  <c r="F18" i="37"/>
  <c r="F124" i="37"/>
  <c r="I124" i="37" s="1"/>
  <c r="F56" i="37"/>
  <c r="I56" i="37" s="1"/>
  <c r="J56" i="37" s="1"/>
  <c r="F157" i="37"/>
  <c r="F90" i="37"/>
  <c r="I90" i="37" s="1"/>
  <c r="J123" i="37"/>
  <c r="J124" i="37" l="1"/>
  <c r="J90" i="37"/>
  <c r="F91" i="37"/>
  <c r="I91" i="37" s="1"/>
  <c r="F57" i="37"/>
  <c r="I57" i="37" s="1"/>
  <c r="J57" i="37" s="1"/>
  <c r="A45" i="37"/>
  <c r="A47" i="37" s="1"/>
  <c r="A48" i="37" s="1"/>
  <c r="A49" i="37" s="1"/>
  <c r="F158" i="37"/>
  <c r="F125" i="37"/>
  <c r="I125" i="37" s="1"/>
  <c r="F19" i="37"/>
  <c r="J125" i="37" l="1"/>
  <c r="J91" i="37"/>
  <c r="F58" i="37"/>
  <c r="I58" i="37" s="1"/>
  <c r="J58" i="37" s="1"/>
  <c r="F20" i="37"/>
  <c r="F126" i="37"/>
  <c r="I126" i="37" s="1"/>
  <c r="J126" i="37" s="1"/>
  <c r="F66" i="37"/>
  <c r="A50" i="37"/>
  <c r="A51" i="37" s="1"/>
  <c r="A52" i="37" s="1"/>
  <c r="A53" i="37" s="1"/>
  <c r="A54" i="37" s="1"/>
  <c r="A55" i="37" s="1"/>
  <c r="A56" i="37" s="1"/>
  <c r="A57" i="37" s="1"/>
  <c r="A58" i="37" s="1"/>
  <c r="A59" i="37" s="1"/>
  <c r="A60" i="37" s="1"/>
  <c r="A61" i="37" s="1"/>
  <c r="F92" i="37"/>
  <c r="I92" i="37" s="1"/>
  <c r="F159" i="37"/>
  <c r="J92" i="37" l="1"/>
  <c r="F60" i="37"/>
  <c r="I60" i="37" s="1"/>
  <c r="F59" i="37"/>
  <c r="I59" i="37" s="1"/>
  <c r="J59" i="37" s="1"/>
  <c r="F93" i="37"/>
  <c r="I93" i="37" s="1"/>
  <c r="F94" i="37"/>
  <c r="I94" i="37" s="1"/>
  <c r="F128" i="37"/>
  <c r="I128" i="37" s="1"/>
  <c r="F127" i="37"/>
  <c r="I127" i="37" s="1"/>
  <c r="J127" i="37" s="1"/>
  <c r="F22" i="37"/>
  <c r="F21" i="37"/>
  <c r="F160" i="37"/>
  <c r="F69" i="37"/>
  <c r="A62" i="37"/>
  <c r="A64" i="37" s="1"/>
  <c r="J93" i="37" l="1"/>
  <c r="J94" i="37" s="1"/>
  <c r="J95" i="37" s="1"/>
  <c r="J128" i="37"/>
  <c r="J129" i="37" s="1"/>
  <c r="J137" i="37" s="1"/>
  <c r="I130" i="37"/>
  <c r="I96" i="37"/>
  <c r="A65" i="37"/>
  <c r="A66" i="37" s="1"/>
  <c r="F65" i="37" s="1"/>
  <c r="F162" i="37"/>
  <c r="F161" i="37"/>
  <c r="J60" i="37"/>
  <c r="J61" i="37" s="1"/>
  <c r="J69" i="37" s="1"/>
  <c r="I62" i="37"/>
  <c r="J103" i="37" l="1"/>
  <c r="J68" i="37"/>
  <c r="J70" i="37" s="1"/>
  <c r="J72" i="37" s="1"/>
  <c r="D66" i="25" s="1"/>
  <c r="A67" i="37"/>
  <c r="J136" i="37"/>
  <c r="J138" i="37" s="1"/>
  <c r="J140" i="37" s="1"/>
  <c r="D68" i="25" s="1"/>
  <c r="A68" i="37" l="1"/>
  <c r="A69" i="37" s="1"/>
  <c r="A70" i="37" l="1"/>
  <c r="F70" i="37"/>
  <c r="F68" i="37"/>
  <c r="A71" i="37" l="1"/>
  <c r="A72" i="37" s="1"/>
  <c r="A78" i="37" s="1"/>
  <c r="A79" i="37" s="1"/>
  <c r="A81" i="37" s="1"/>
  <c r="A82" i="37" s="1"/>
  <c r="A83" i="37" s="1"/>
  <c r="A84" i="37" s="1"/>
  <c r="A85" i="37" s="1"/>
  <c r="A86" i="37" s="1"/>
  <c r="A87" i="37" s="1"/>
  <c r="A88" i="37" s="1"/>
  <c r="A89" i="37" s="1"/>
  <c r="A90" i="37" s="1"/>
  <c r="A91" i="37" s="1"/>
  <c r="A92" i="37" s="1"/>
  <c r="A93" i="37" s="1"/>
  <c r="A94" i="37" s="1"/>
  <c r="A95" i="37" s="1"/>
  <c r="F72" i="37" l="1"/>
  <c r="A96" i="37"/>
  <c r="A98" i="37" s="1"/>
  <c r="A99" i="37" s="1"/>
  <c r="A100" i="37" s="1"/>
  <c r="A101" i="37" s="1"/>
  <c r="A102" i="37" s="1"/>
  <c r="F103" i="37"/>
  <c r="A103" i="37" l="1"/>
  <c r="A104" i="37" s="1"/>
  <c r="A105" i="37" s="1"/>
  <c r="A106" i="37" s="1"/>
  <c r="A112" i="37" s="1"/>
  <c r="A113" i="37" s="1"/>
  <c r="A115" i="37" s="1"/>
  <c r="A116" i="37" s="1"/>
  <c r="A117" i="37" s="1"/>
  <c r="F134" i="37" l="1"/>
  <c r="A118" i="37"/>
  <c r="A119" i="37" s="1"/>
  <c r="A120" i="37" s="1"/>
  <c r="A121" i="37" s="1"/>
  <c r="A122" i="37" s="1"/>
  <c r="A123" i="37" s="1"/>
  <c r="A124" i="37" s="1"/>
  <c r="A125" i="37" s="1"/>
  <c r="A126" i="37" s="1"/>
  <c r="A127" i="37" s="1"/>
  <c r="A128" i="37" s="1"/>
  <c r="A129" i="37" s="1"/>
  <c r="A130" i="37" l="1"/>
  <c r="A132" i="37" s="1"/>
  <c r="F137" i="37"/>
  <c r="A133" i="37" l="1"/>
  <c r="A134" i="37" s="1"/>
  <c r="F133" i="37"/>
  <c r="A135" i="37" l="1"/>
  <c r="A136" i="37" l="1"/>
  <c r="A137" i="37" l="1"/>
  <c r="A138" i="37" l="1"/>
  <c r="F138" i="37"/>
  <c r="F136" i="37"/>
  <c r="A139" i="37" l="1"/>
  <c r="A140" i="37" s="1"/>
  <c r="A146" i="37" s="1"/>
  <c r="A147" i="37" s="1"/>
  <c r="A149" i="37" s="1"/>
  <c r="A150" i="37" s="1"/>
  <c r="A151" i="37" s="1"/>
  <c r="A152" i="37" s="1"/>
  <c r="A153" i="37" s="1"/>
  <c r="A154" i="37" s="1"/>
  <c r="A155" i="37" s="1"/>
  <c r="A156" i="37" s="1"/>
  <c r="A157" i="37" s="1"/>
  <c r="A158" i="37" s="1"/>
  <c r="A159" i="37" s="1"/>
  <c r="A160" i="37" s="1"/>
  <c r="A161" i="37" s="1"/>
  <c r="A162" i="37" s="1"/>
  <c r="A163" i="37" s="1"/>
  <c r="A164" i="37" s="1"/>
  <c r="A166" i="37" s="1"/>
  <c r="A167" i="37" s="1"/>
  <c r="A168" i="37" s="1"/>
  <c r="A169" i="37" s="1"/>
  <c r="A170" i="37" s="1"/>
  <c r="A171" i="37" s="1"/>
  <c r="A172" i="37" s="1"/>
  <c r="A173" i="37" s="1"/>
  <c r="F140" i="37" l="1"/>
  <c r="F92" i="23" l="1"/>
  <c r="F93" i="23"/>
  <c r="F94" i="23"/>
  <c r="F95" i="23"/>
  <c r="F96" i="23"/>
  <c r="F97" i="23"/>
  <c r="F98" i="23"/>
  <c r="F99" i="23"/>
  <c r="F100" i="23"/>
  <c r="F101" i="23"/>
  <c r="F102" i="23"/>
  <c r="F103" i="23"/>
  <c r="F91" i="23"/>
  <c r="F104" i="23" l="1"/>
  <c r="D104" i="23"/>
  <c r="E104" i="23"/>
  <c r="E84" i="23"/>
  <c r="E83" i="23"/>
  <c r="C104" i="23"/>
  <c r="I203" i="25" l="1"/>
  <c r="I209" i="9"/>
  <c r="G10" i="4"/>
  <c r="Q30" i="26" l="1"/>
  <c r="J14" i="26" l="1"/>
  <c r="H14" i="26"/>
  <c r="K18" i="26" l="1"/>
  <c r="K25" i="26"/>
  <c r="O25" i="26" s="1"/>
  <c r="K24" i="26"/>
  <c r="O24" i="26" s="1"/>
  <c r="K23" i="26"/>
  <c r="O23" i="26" s="1"/>
  <c r="K22" i="26"/>
  <c r="O22" i="26" s="1"/>
  <c r="K21" i="26"/>
  <c r="O21" i="26" s="1"/>
  <c r="K20" i="26"/>
  <c r="O20" i="26" s="1"/>
  <c r="K19" i="26"/>
  <c r="O19" i="26" s="1"/>
  <c r="N19" i="26" l="1"/>
  <c r="O18" i="26"/>
  <c r="N18" i="26"/>
  <c r="N20" i="26"/>
  <c r="N22" i="26"/>
  <c r="N24" i="26"/>
  <c r="N23" i="26"/>
  <c r="N21" i="26"/>
  <c r="N25" i="26"/>
  <c r="H31" i="21" l="1"/>
  <c r="F51" i="4" l="1"/>
  <c r="F50" i="4"/>
  <c r="F49" i="4"/>
  <c r="F48" i="4"/>
  <c r="D14" i="9" s="1"/>
  <c r="F52" i="4" l="1"/>
  <c r="A9" i="31"/>
  <c r="A10" i="31" s="1"/>
  <c r="A11" i="31" s="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D15" i="31"/>
  <c r="D22" i="31" s="1"/>
  <c r="D24" i="31" l="1"/>
  <c r="D79" i="25" l="1"/>
  <c r="D73" i="25"/>
  <c r="D72" i="25"/>
  <c r="D55" i="25"/>
  <c r="D50" i="25"/>
  <c r="H69" i="23" l="1"/>
  <c r="G69" i="23"/>
  <c r="F69" i="23"/>
  <c r="H57" i="23"/>
  <c r="G57" i="23"/>
  <c r="F57" i="23"/>
  <c r="E57" i="23"/>
  <c r="F15" i="15"/>
  <c r="H70" i="23" s="1"/>
  <c r="F14" i="15"/>
  <c r="G70" i="23" s="1"/>
  <c r="F13" i="15"/>
  <c r="F70" i="23" s="1"/>
  <c r="F12" i="15"/>
  <c r="E70" i="23" s="1"/>
  <c r="D9" i="20" l="1"/>
  <c r="D10" i="20" s="1"/>
  <c r="D11" i="20" s="1"/>
  <c r="D12" i="20" s="1"/>
  <c r="D13" i="20" s="1"/>
  <c r="D14" i="20" s="1"/>
  <c r="D15" i="20" s="1"/>
  <c r="D16" i="20" s="1"/>
  <c r="D17" i="20" s="1"/>
  <c r="D18" i="20" s="1"/>
  <c r="D19" i="20" s="1"/>
  <c r="A12" i="15" l="1"/>
  <c r="A13" i="15" s="1"/>
  <c r="A14" i="15" s="1"/>
  <c r="A15" i="15" s="1"/>
  <c r="K26" i="26" l="1"/>
  <c r="D192" i="25"/>
  <c r="O26" i="26" l="1"/>
  <c r="N26" i="26"/>
  <c r="K27" i="26"/>
  <c r="O27" i="26" l="1"/>
  <c r="N27" i="26"/>
  <c r="K28" i="26"/>
  <c r="A3" i="31"/>
  <c r="O28" i="26" l="1"/>
  <c r="N28" i="26"/>
  <c r="K29" i="26"/>
  <c r="O29" i="26" l="1"/>
  <c r="N29" i="26"/>
  <c r="N42" i="26" s="1"/>
  <c r="K30" i="26"/>
  <c r="O30" i="26" s="1"/>
  <c r="M42" i="30"/>
  <c r="M41" i="30"/>
  <c r="M40" i="30"/>
  <c r="M39" i="30"/>
  <c r="M38" i="30"/>
  <c r="M37" i="30"/>
  <c r="M36" i="30"/>
  <c r="M35" i="30"/>
  <c r="M34" i="30"/>
  <c r="M33" i="30"/>
  <c r="M32" i="30"/>
  <c r="M31" i="30"/>
  <c r="M30" i="30"/>
  <c r="M29" i="30"/>
  <c r="M28" i="30"/>
  <c r="M27" i="30"/>
  <c r="M26" i="30"/>
  <c r="M25" i="30"/>
  <c r="M24" i="30"/>
  <c r="M23" i="30"/>
  <c r="M22" i="30"/>
  <c r="M21" i="30"/>
  <c r="M20" i="30"/>
  <c r="I20" i="30"/>
  <c r="I21" i="30"/>
  <c r="I22" i="30"/>
  <c r="I23" i="30"/>
  <c r="I24" i="30"/>
  <c r="I25" i="30"/>
  <c r="I26" i="30"/>
  <c r="I27" i="30"/>
  <c r="I28" i="30"/>
  <c r="I29" i="30"/>
  <c r="I30" i="30"/>
  <c r="I31" i="30"/>
  <c r="I32" i="30"/>
  <c r="I33" i="30"/>
  <c r="I34" i="30"/>
  <c r="I35" i="30"/>
  <c r="I36" i="30"/>
  <c r="I37" i="30"/>
  <c r="I38" i="30"/>
  <c r="I39" i="30"/>
  <c r="I40" i="30"/>
  <c r="I41" i="30"/>
  <c r="I42" i="30"/>
  <c r="L18" i="30"/>
  <c r="L19" i="30" s="1"/>
  <c r="H18" i="30"/>
  <c r="H19" i="30" s="1"/>
  <c r="C20" i="30"/>
  <c r="C21" i="30"/>
  <c r="C22" i="30"/>
  <c r="C23" i="30"/>
  <c r="C24" i="30"/>
  <c r="C25" i="30"/>
  <c r="C26" i="30"/>
  <c r="C27" i="30"/>
  <c r="C28" i="30"/>
  <c r="C29" i="30"/>
  <c r="C30" i="30"/>
  <c r="C31" i="30"/>
  <c r="C32" i="30"/>
  <c r="C33" i="30"/>
  <c r="C34" i="30"/>
  <c r="C35" i="30"/>
  <c r="C36" i="30"/>
  <c r="C37" i="30"/>
  <c r="C38" i="30"/>
  <c r="C39" i="30"/>
  <c r="C40" i="30"/>
  <c r="C41" i="30"/>
  <c r="C42" i="30"/>
  <c r="L45" i="30"/>
  <c r="H45" i="30"/>
  <c r="I44" i="30" l="1"/>
  <c r="I19" i="30"/>
  <c r="J19" i="30" s="1"/>
  <c r="M19" i="30"/>
  <c r="M44" i="30"/>
  <c r="K31" i="26"/>
  <c r="O31" i="26" s="1"/>
  <c r="C19" i="30"/>
  <c r="D20" i="30"/>
  <c r="A8" i="30"/>
  <c r="A9" i="30" s="1"/>
  <c r="A10" i="30" s="1"/>
  <c r="A11" i="30" s="1"/>
  <c r="A12" i="30" s="1"/>
  <c r="A13" i="30" s="1"/>
  <c r="A14" i="30" s="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39" i="30" s="1"/>
  <c r="A40" i="30" s="1"/>
  <c r="A41" i="30" s="1"/>
  <c r="A42" i="30" s="1"/>
  <c r="A3" i="30"/>
  <c r="C20" i="29"/>
  <c r="C21" i="29"/>
  <c r="C22" i="29"/>
  <c r="C23" i="29"/>
  <c r="C24" i="29"/>
  <c r="C25" i="29"/>
  <c r="C26" i="29"/>
  <c r="C27" i="29"/>
  <c r="C28" i="29"/>
  <c r="C29" i="29"/>
  <c r="C30" i="29"/>
  <c r="C31" i="29"/>
  <c r="C32" i="29"/>
  <c r="C33" i="29"/>
  <c r="C34" i="29"/>
  <c r="C35" i="29"/>
  <c r="C36" i="29"/>
  <c r="C37" i="29"/>
  <c r="C38" i="29"/>
  <c r="C39" i="29"/>
  <c r="C40" i="29"/>
  <c r="C41" i="29"/>
  <c r="C42" i="29"/>
  <c r="D19" i="29"/>
  <c r="C19" i="29"/>
  <c r="M20" i="29"/>
  <c r="M21" i="29" s="1"/>
  <c r="M22" i="29" s="1"/>
  <c r="M23" i="29" s="1"/>
  <c r="M24" i="29" s="1"/>
  <c r="M25" i="29" s="1"/>
  <c r="M26" i="29" s="1"/>
  <c r="M27" i="29" s="1"/>
  <c r="M28" i="29" s="1"/>
  <c r="M29" i="29" s="1"/>
  <c r="I20" i="29"/>
  <c r="A8" i="29"/>
  <c r="A9" i="29" s="1"/>
  <c r="A10" i="29" s="1"/>
  <c r="A11" i="29" s="1"/>
  <c r="A12" i="29" s="1"/>
  <c r="A13" i="29" s="1"/>
  <c r="A14"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41" i="29" s="1"/>
  <c r="A42" i="29" s="1"/>
  <c r="A3" i="29"/>
  <c r="J20" i="29" l="1"/>
  <c r="D19" i="30"/>
  <c r="N19" i="30"/>
  <c r="E19" i="30" s="1"/>
  <c r="K19" i="30"/>
  <c r="N20" i="29"/>
  <c r="E20" i="29" s="1"/>
  <c r="E19" i="29"/>
  <c r="K32" i="26"/>
  <c r="O32" i="26" s="1"/>
  <c r="C45" i="30"/>
  <c r="D21" i="30"/>
  <c r="N29" i="29"/>
  <c r="M30" i="29"/>
  <c r="D20" i="29"/>
  <c r="N21" i="29"/>
  <c r="N22" i="29"/>
  <c r="I21" i="29"/>
  <c r="J20" i="30" l="1"/>
  <c r="N20" i="30"/>
  <c r="O19" i="30"/>
  <c r="K33" i="26"/>
  <c r="O33" i="26" s="1"/>
  <c r="D22" i="30"/>
  <c r="M31" i="29"/>
  <c r="N30" i="29"/>
  <c r="I22" i="29"/>
  <c r="J22" i="29" s="1"/>
  <c r="D21" i="29"/>
  <c r="N23" i="29"/>
  <c r="J21" i="29"/>
  <c r="K20" i="30" l="1"/>
  <c r="J21" i="30"/>
  <c r="O20" i="30"/>
  <c r="E20" i="30"/>
  <c r="N21" i="30"/>
  <c r="K34" i="26"/>
  <c r="O34" i="26" s="1"/>
  <c r="D23" i="30"/>
  <c r="I23" i="29"/>
  <c r="D22" i="29"/>
  <c r="E21" i="29"/>
  <c r="M32" i="29"/>
  <c r="N31" i="29"/>
  <c r="N24" i="29"/>
  <c r="K21" i="30" l="1"/>
  <c r="J22" i="30"/>
  <c r="O21" i="30"/>
  <c r="N22" i="30"/>
  <c r="E21" i="30"/>
  <c r="K35" i="26"/>
  <c r="O35" i="26" s="1"/>
  <c r="D24" i="30"/>
  <c r="M33" i="29"/>
  <c r="N32" i="29"/>
  <c r="E22" i="29"/>
  <c r="I24" i="29"/>
  <c r="D23" i="29"/>
  <c r="N25" i="29"/>
  <c r="J23" i="29"/>
  <c r="K22" i="30" l="1"/>
  <c r="J23" i="30"/>
  <c r="O22" i="30"/>
  <c r="E22" i="30"/>
  <c r="N23" i="30"/>
  <c r="K36" i="26"/>
  <c r="O36" i="26" s="1"/>
  <c r="D25" i="30"/>
  <c r="I25" i="29"/>
  <c r="D24" i="29"/>
  <c r="N33" i="29"/>
  <c r="M34" i="29"/>
  <c r="E23" i="29"/>
  <c r="N26" i="29"/>
  <c r="J24" i="29"/>
  <c r="J24" i="30" l="1"/>
  <c r="K23" i="30"/>
  <c r="O23" i="30"/>
  <c r="E23" i="30"/>
  <c r="N24" i="30"/>
  <c r="K37" i="26"/>
  <c r="O37" i="26" s="1"/>
  <c r="D26" i="30"/>
  <c r="E24" i="29"/>
  <c r="M35" i="29"/>
  <c r="N34" i="29"/>
  <c r="I26" i="29"/>
  <c r="D25" i="29"/>
  <c r="N28" i="29"/>
  <c r="N27" i="29"/>
  <c r="J25" i="29"/>
  <c r="J25" i="30" l="1"/>
  <c r="K24" i="30"/>
  <c r="O24" i="30"/>
  <c r="E24" i="30"/>
  <c r="N25" i="30"/>
  <c r="K38" i="26"/>
  <c r="O38" i="26" s="1"/>
  <c r="D27" i="30"/>
  <c r="M36" i="29"/>
  <c r="N35" i="29"/>
  <c r="E25" i="29"/>
  <c r="I27" i="29"/>
  <c r="D26" i="29"/>
  <c r="J26" i="29"/>
  <c r="K25" i="30" l="1"/>
  <c r="J26" i="30"/>
  <c r="O25" i="30"/>
  <c r="E25" i="30"/>
  <c r="N26" i="30"/>
  <c r="K39" i="26"/>
  <c r="O39" i="26" s="1"/>
  <c r="D28" i="30"/>
  <c r="M37" i="29"/>
  <c r="N36" i="29"/>
  <c r="E26" i="29"/>
  <c r="I28" i="29"/>
  <c r="D27" i="29"/>
  <c r="J27" i="29"/>
  <c r="J27" i="30" l="1"/>
  <c r="K26" i="30"/>
  <c r="O26" i="30"/>
  <c r="E26" i="30"/>
  <c r="N27" i="30"/>
  <c r="K41" i="26"/>
  <c r="O41" i="26" s="1"/>
  <c r="K40" i="26"/>
  <c r="O40" i="26" s="1"/>
  <c r="D29" i="30"/>
  <c r="E27" i="29"/>
  <c r="I29" i="29"/>
  <c r="D28" i="29"/>
  <c r="N37" i="29"/>
  <c r="M38" i="29"/>
  <c r="J28" i="29"/>
  <c r="O42" i="26" l="1"/>
  <c r="W30" i="26" s="1"/>
  <c r="K27" i="30"/>
  <c r="J28" i="30"/>
  <c r="O27" i="30"/>
  <c r="E27" i="30"/>
  <c r="N28" i="30"/>
  <c r="D30" i="30"/>
  <c r="E28" i="29"/>
  <c r="D29" i="29"/>
  <c r="J29" i="29"/>
  <c r="I30" i="29"/>
  <c r="M39" i="29"/>
  <c r="N38" i="29"/>
  <c r="J29" i="30" l="1"/>
  <c r="K28" i="30"/>
  <c r="O28" i="30"/>
  <c r="E28" i="30"/>
  <c r="N29" i="30"/>
  <c r="E29" i="29"/>
  <c r="N39" i="29"/>
  <c r="M40" i="29"/>
  <c r="J30" i="29"/>
  <c r="I31" i="29"/>
  <c r="D30" i="29"/>
  <c r="J30" i="30" l="1"/>
  <c r="K29" i="30"/>
  <c r="O29" i="30"/>
  <c r="N30" i="30"/>
  <c r="E29" i="30"/>
  <c r="D31" i="30"/>
  <c r="D32" i="30"/>
  <c r="N40" i="29"/>
  <c r="M41" i="29"/>
  <c r="D31" i="29"/>
  <c r="I32" i="29"/>
  <c r="J31" i="29"/>
  <c r="E30" i="29"/>
  <c r="K30" i="30" l="1"/>
  <c r="J31" i="30"/>
  <c r="O30" i="30"/>
  <c r="E30" i="30"/>
  <c r="N31" i="30"/>
  <c r="D33" i="30"/>
  <c r="I33" i="29"/>
  <c r="D32" i="29"/>
  <c r="J32" i="29"/>
  <c r="M42" i="29"/>
  <c r="N42" i="29" s="1"/>
  <c r="N41" i="29"/>
  <c r="E31" i="29"/>
  <c r="K31" i="30" l="1"/>
  <c r="J32" i="30"/>
  <c r="O31" i="30"/>
  <c r="E31" i="30"/>
  <c r="N32" i="30"/>
  <c r="D34" i="30"/>
  <c r="E32" i="29"/>
  <c r="D33" i="29"/>
  <c r="I34" i="29"/>
  <c r="J33" i="29"/>
  <c r="J33" i="30" l="1"/>
  <c r="K32" i="30"/>
  <c r="O32" i="30"/>
  <c r="N33" i="30"/>
  <c r="E32" i="30"/>
  <c r="I35" i="29"/>
  <c r="D34" i="29"/>
  <c r="J34" i="29"/>
  <c r="E33" i="29"/>
  <c r="J34" i="30" l="1"/>
  <c r="K33" i="30"/>
  <c r="O33" i="30"/>
  <c r="N34" i="30"/>
  <c r="E33" i="30"/>
  <c r="D35" i="30"/>
  <c r="D36" i="30"/>
  <c r="E34" i="29"/>
  <c r="I36" i="29"/>
  <c r="D35" i="29"/>
  <c r="J35" i="29"/>
  <c r="K34" i="30" l="1"/>
  <c r="J35" i="30"/>
  <c r="O34" i="30"/>
  <c r="N35" i="30"/>
  <c r="E34" i="30"/>
  <c r="D37" i="30"/>
  <c r="D36" i="29"/>
  <c r="J36" i="29"/>
  <c r="I37" i="29"/>
  <c r="E35" i="29"/>
  <c r="K35" i="30" l="1"/>
  <c r="J36" i="30"/>
  <c r="O35" i="30"/>
  <c r="N36" i="30"/>
  <c r="E35" i="30"/>
  <c r="D38" i="30"/>
  <c r="D37" i="29"/>
  <c r="J37" i="29"/>
  <c r="I38" i="29"/>
  <c r="E36" i="29"/>
  <c r="J37" i="30" l="1"/>
  <c r="K36" i="30"/>
  <c r="O36" i="30"/>
  <c r="N37" i="30"/>
  <c r="E36" i="30"/>
  <c r="D39" i="30"/>
  <c r="E37" i="29"/>
  <c r="J38" i="29"/>
  <c r="D38" i="29"/>
  <c r="I39" i="29"/>
  <c r="K37" i="30" l="1"/>
  <c r="J38" i="30"/>
  <c r="O37" i="30"/>
  <c r="N38" i="30"/>
  <c r="E37" i="30"/>
  <c r="D40" i="30"/>
  <c r="E38" i="29"/>
  <c r="I40" i="29"/>
  <c r="D39" i="29"/>
  <c r="J39" i="29"/>
  <c r="K38" i="30" l="1"/>
  <c r="J39" i="30"/>
  <c r="O38" i="30"/>
  <c r="N39" i="30"/>
  <c r="E38" i="30"/>
  <c r="D41" i="30"/>
  <c r="I41" i="29"/>
  <c r="D40" i="29"/>
  <c r="J40" i="29"/>
  <c r="E39" i="29"/>
  <c r="J40" i="30" l="1"/>
  <c r="K39" i="30"/>
  <c r="O39" i="30"/>
  <c r="E39" i="30"/>
  <c r="N40" i="30"/>
  <c r="E40" i="29"/>
  <c r="I42" i="29"/>
  <c r="J41" i="29"/>
  <c r="D41" i="29"/>
  <c r="K40" i="30" l="1"/>
  <c r="J41" i="30"/>
  <c r="O40" i="30"/>
  <c r="N41" i="30"/>
  <c r="E40" i="30"/>
  <c r="D42" i="30"/>
  <c r="D44" i="30" s="1"/>
  <c r="J42" i="29"/>
  <c r="D42" i="29"/>
  <c r="E41" i="29"/>
  <c r="K41" i="30" l="1"/>
  <c r="J42" i="30"/>
  <c r="O41" i="30"/>
  <c r="E41" i="30"/>
  <c r="N42" i="30"/>
  <c r="E42" i="29"/>
  <c r="K42" i="30" l="1"/>
  <c r="K45" i="30" s="1"/>
  <c r="J45" i="30"/>
  <c r="O42" i="30"/>
  <c r="O45" i="30" s="1"/>
  <c r="N45" i="30"/>
  <c r="E42" i="30"/>
  <c r="E45" i="30" s="1"/>
  <c r="E50" i="23"/>
  <c r="E49" i="23"/>
  <c r="A3" i="27"/>
  <c r="G210" i="25" l="1"/>
  <c r="D75" i="25"/>
  <c r="I174" i="25"/>
  <c r="I167" i="25"/>
  <c r="I166" i="25"/>
  <c r="D209" i="25"/>
  <c r="D208" i="25"/>
  <c r="I204" i="25"/>
  <c r="I201" i="25"/>
  <c r="I198" i="25"/>
  <c r="I196" i="25"/>
  <c r="D184" i="25"/>
  <c r="D185" i="25"/>
  <c r="D186" i="25"/>
  <c r="D183" i="25"/>
  <c r="D138" i="25"/>
  <c r="D33" i="27"/>
  <c r="D35" i="27"/>
  <c r="D36" i="27"/>
  <c r="D37" i="27"/>
  <c r="D38" i="27"/>
  <c r="D32" i="27"/>
  <c r="D17" i="27"/>
  <c r="D18" i="27"/>
  <c r="D19" i="27"/>
  <c r="D23" i="27"/>
  <c r="F23" i="27" s="1"/>
  <c r="D25" i="27"/>
  <c r="D26" i="27"/>
  <c r="D16" i="27"/>
  <c r="D118" i="25"/>
  <c r="D117" i="25"/>
  <c r="D116" i="25"/>
  <c r="F15" i="20"/>
  <c r="F14" i="20"/>
  <c r="F13" i="20"/>
  <c r="F12" i="20"/>
  <c r="F11" i="20"/>
  <c r="F10" i="20"/>
  <c r="F9" i="20"/>
  <c r="F8" i="20"/>
  <c r="F22" i="20" l="1"/>
  <c r="G16" i="20" s="1"/>
  <c r="C19" i="28" s="1"/>
  <c r="G17" i="20" l="1"/>
  <c r="C20" i="28" s="1"/>
  <c r="G18" i="20"/>
  <c r="C21" i="28" s="1"/>
  <c r="G19" i="20"/>
  <c r="C22" i="28" s="1"/>
  <c r="B3" i="26" l="1"/>
  <c r="A3" i="21"/>
  <c r="D22" i="28"/>
  <c r="E22" i="28" s="1"/>
  <c r="G22" i="28" s="1"/>
  <c r="D21" i="28"/>
  <c r="E21" i="28" s="1"/>
  <c r="G21" i="28" s="1"/>
  <c r="D20" i="28"/>
  <c r="E20" i="28" s="1"/>
  <c r="G20" i="28" s="1"/>
  <c r="D19" i="28"/>
  <c r="E19" i="28" s="1"/>
  <c r="G19" i="28" s="1"/>
  <c r="G18" i="28"/>
  <c r="G17" i="28"/>
  <c r="G16" i="28"/>
  <c r="G15" i="28"/>
  <c r="G14" i="28"/>
  <c r="G13" i="28"/>
  <c r="G12" i="28"/>
  <c r="G11" i="28"/>
  <c r="A16" i="27"/>
  <c r="A17" i="27" s="1"/>
  <c r="A18" i="27" s="1"/>
  <c r="A19" i="27" s="1"/>
  <c r="A20" i="27" s="1"/>
  <c r="A21" i="27" s="1"/>
  <c r="A22" i="27" s="1"/>
  <c r="A23" i="27" s="1"/>
  <c r="A24" i="27" s="1"/>
  <c r="A25" i="27" s="1"/>
  <c r="A26" i="27" s="1"/>
  <c r="A27" i="27" s="1"/>
  <c r="A32" i="27" s="1"/>
  <c r="A33" i="27" s="1"/>
  <c r="A34" i="27" s="1"/>
  <c r="A35" i="27" s="1"/>
  <c r="A36" i="27" s="1"/>
  <c r="A37" i="27" s="1"/>
  <c r="A38" i="27" s="1"/>
  <c r="A39" i="27" s="1"/>
  <c r="A18" i="26"/>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3" i="26" s="1"/>
  <c r="A44" i="26" s="1"/>
  <c r="E3" i="23"/>
  <c r="D123" i="9"/>
  <c r="E51" i="23" l="1"/>
  <c r="E85" i="23"/>
  <c r="G23" i="28"/>
  <c r="G24" i="28" s="1"/>
  <c r="A3" i="28"/>
  <c r="I26" i="25" l="1"/>
  <c r="D32" i="31"/>
  <c r="C222" i="25"/>
  <c r="K219" i="25"/>
  <c r="I216" i="25"/>
  <c r="G209" i="25"/>
  <c r="G208" i="25"/>
  <c r="D193" i="25"/>
  <c r="G191" i="25" s="1"/>
  <c r="I189" i="25"/>
  <c r="D187" i="25"/>
  <c r="G186" i="25"/>
  <c r="G185" i="25"/>
  <c r="G183" i="25"/>
  <c r="C160" i="25"/>
  <c r="G157" i="25"/>
  <c r="I154" i="25"/>
  <c r="D133" i="25"/>
  <c r="F124" i="25"/>
  <c r="I118" i="25"/>
  <c r="B117" i="25"/>
  <c r="B115" i="25"/>
  <c r="F109" i="25"/>
  <c r="F107" i="25"/>
  <c r="F106" i="25"/>
  <c r="C95" i="25"/>
  <c r="K92" i="25"/>
  <c r="I89" i="25"/>
  <c r="F55" i="25"/>
  <c r="B60" i="25"/>
  <c r="F54" i="25"/>
  <c r="F79" i="25" s="1"/>
  <c r="B59" i="25"/>
  <c r="C42" i="25"/>
  <c r="K39" i="25"/>
  <c r="I36" i="25"/>
  <c r="U26" i="26" l="1"/>
  <c r="U22" i="26"/>
  <c r="U18" i="26"/>
  <c r="U27" i="26"/>
  <c r="U29" i="26"/>
  <c r="U25" i="26"/>
  <c r="U21" i="26"/>
  <c r="U23" i="26"/>
  <c r="U28" i="26"/>
  <c r="U24" i="26"/>
  <c r="U20" i="26"/>
  <c r="U19" i="26"/>
  <c r="D137" i="25"/>
  <c r="D143" i="25" s="1"/>
  <c r="Z32" i="26"/>
  <c r="Z36" i="26"/>
  <c r="Z40" i="26"/>
  <c r="Z33" i="26"/>
  <c r="Z37" i="26"/>
  <c r="Z41" i="26"/>
  <c r="Z30" i="26"/>
  <c r="Z35" i="26"/>
  <c r="Z34" i="26"/>
  <c r="Z38" i="26"/>
  <c r="Z31" i="26"/>
  <c r="Z39" i="26"/>
  <c r="H51" i="21" l="1"/>
  <c r="I122" i="9" l="1"/>
  <c r="D74" i="9"/>
  <c r="D73" i="9"/>
  <c r="D72" i="9"/>
  <c r="A71" i="9"/>
  <c r="A72" i="9" s="1"/>
  <c r="A73" i="9" s="1"/>
  <c r="A74" i="9" s="1"/>
  <c r="A75" i="9" s="1"/>
  <c r="C65" i="9"/>
  <c r="C64" i="9"/>
  <c r="C63" i="9"/>
  <c r="C62" i="9"/>
  <c r="C61" i="9"/>
  <c r="D38" i="9"/>
  <c r="K35" i="9"/>
  <c r="I32" i="9"/>
  <c r="F14" i="9"/>
  <c r="I81" i="23" l="1"/>
  <c r="I80" i="23"/>
  <c r="I79" i="23"/>
  <c r="I78" i="23"/>
  <c r="I77" i="23"/>
  <c r="I76" i="23"/>
  <c r="A75" i="23"/>
  <c r="D71" i="9"/>
  <c r="D70" i="23"/>
  <c r="D77" i="9" s="1"/>
  <c r="C70" i="23"/>
  <c r="D76" i="9" s="1"/>
  <c r="I46" i="23"/>
  <c r="D57" i="9" s="1"/>
  <c r="H46" i="23"/>
  <c r="D56" i="9" s="1"/>
  <c r="G46" i="23"/>
  <c r="D55" i="9" s="1"/>
  <c r="F46" i="23"/>
  <c r="D54" i="9" s="1"/>
  <c r="E46" i="23"/>
  <c r="D53" i="9" s="1"/>
  <c r="D46" i="23"/>
  <c r="I23" i="23"/>
  <c r="D83" i="9" s="1"/>
  <c r="H23" i="23"/>
  <c r="G23" i="23"/>
  <c r="D49" i="9" s="1"/>
  <c r="F23" i="23"/>
  <c r="D48" i="9" s="1"/>
  <c r="E23" i="23"/>
  <c r="D47" i="9" s="1"/>
  <c r="D23" i="23"/>
  <c r="D46" i="9" s="1"/>
  <c r="C23" i="23"/>
  <c r="D45" i="9" s="1"/>
  <c r="I82" i="23" l="1"/>
  <c r="D62" i="9"/>
  <c r="D64" i="9"/>
  <c r="D58" i="9"/>
  <c r="D229" i="25"/>
  <c r="D50" i="9"/>
  <c r="D231" i="25"/>
  <c r="D63" i="9"/>
  <c r="D233" i="25"/>
  <c r="D65" i="9"/>
  <c r="D78" i="9"/>
  <c r="D81" i="9" s="1"/>
  <c r="H20" i="26"/>
  <c r="H24" i="26"/>
  <c r="H28" i="26"/>
  <c r="H32" i="26"/>
  <c r="H36" i="26"/>
  <c r="H40" i="26"/>
  <c r="H21" i="26"/>
  <c r="H25" i="26"/>
  <c r="H33" i="26"/>
  <c r="H41" i="26"/>
  <c r="H34" i="26"/>
  <c r="H19" i="26"/>
  <c r="D19" i="26" s="1"/>
  <c r="H23" i="26"/>
  <c r="H27" i="26"/>
  <c r="H31" i="26"/>
  <c r="H35" i="26"/>
  <c r="H39" i="26"/>
  <c r="H29" i="26"/>
  <c r="H37" i="26"/>
  <c r="H22" i="26"/>
  <c r="H26" i="26"/>
  <c r="H30" i="26"/>
  <c r="H38" i="26"/>
  <c r="H18" i="26"/>
  <c r="D18" i="26" s="1"/>
  <c r="D60" i="25"/>
  <c r="D232" i="25"/>
  <c r="I12" i="26"/>
  <c r="D63" i="25"/>
  <c r="D68" i="9"/>
  <c r="I68" i="9" s="1"/>
  <c r="H44" i="26" l="1"/>
  <c r="D74" i="25"/>
  <c r="I74" i="25" s="1"/>
  <c r="I78" i="9"/>
  <c r="I18" i="26"/>
  <c r="E18" i="26" s="1"/>
  <c r="S18" i="26" s="1"/>
  <c r="I29" i="26"/>
  <c r="I19" i="26"/>
  <c r="E19" i="26" s="1"/>
  <c r="S19" i="26" s="1"/>
  <c r="I20" i="26"/>
  <c r="E20" i="26" s="1"/>
  <c r="S20" i="26" s="1"/>
  <c r="D20" i="26"/>
  <c r="H44" i="21"/>
  <c r="C11" i="21"/>
  <c r="B10" i="21"/>
  <c r="A8" i="21"/>
  <c r="J18" i="26" l="1"/>
  <c r="D21" i="26"/>
  <c r="I21" i="26"/>
  <c r="E21" i="26" s="1"/>
  <c r="S21" i="26" s="1"/>
  <c r="A9" i="21"/>
  <c r="F18" i="26" l="1"/>
  <c r="J19" i="26"/>
  <c r="F19" i="26" s="1"/>
  <c r="D22" i="26"/>
  <c r="I22" i="26"/>
  <c r="E22" i="26" s="1"/>
  <c r="S22" i="26" s="1"/>
  <c r="A10" i="21"/>
  <c r="J20" i="26" l="1"/>
  <c r="F20" i="26" s="1"/>
  <c r="D23" i="26"/>
  <c r="I23" i="26"/>
  <c r="E23" i="26" s="1"/>
  <c r="S23" i="26" s="1"/>
  <c r="A11" i="21"/>
  <c r="J21" i="26" l="1"/>
  <c r="F21" i="26" s="1"/>
  <c r="D24" i="26"/>
  <c r="I24" i="26"/>
  <c r="E24" i="26" s="1"/>
  <c r="S24" i="26" s="1"/>
  <c r="A12" i="21"/>
  <c r="J22" i="26" l="1"/>
  <c r="F22" i="26" s="1"/>
  <c r="D25" i="26"/>
  <c r="I25" i="26"/>
  <c r="E25" i="26" s="1"/>
  <c r="S25" i="26" s="1"/>
  <c r="A13" i="21"/>
  <c r="J23" i="26" l="1"/>
  <c r="F23" i="26" s="1"/>
  <c r="D26" i="26"/>
  <c r="I26" i="26"/>
  <c r="E26" i="26" s="1"/>
  <c r="S26" i="26" s="1"/>
  <c r="A14" i="21"/>
  <c r="J24" i="26" l="1"/>
  <c r="F24" i="26" s="1"/>
  <c r="D27" i="26"/>
  <c r="I27" i="26"/>
  <c r="E27" i="26" s="1"/>
  <c r="S27" i="26" s="1"/>
  <c r="A15" i="21"/>
  <c r="J25" i="26" l="1"/>
  <c r="F25" i="26" s="1"/>
  <c r="D28" i="26"/>
  <c r="I28" i="26"/>
  <c r="E28" i="26" s="1"/>
  <c r="S28" i="26" s="1"/>
  <c r="A16" i="21"/>
  <c r="J26" i="26" l="1"/>
  <c r="F26" i="26" s="1"/>
  <c r="D29" i="26"/>
  <c r="E29" i="26"/>
  <c r="S29" i="26" s="1"/>
  <c r="A17" i="21"/>
  <c r="A20" i="21" s="1"/>
  <c r="A21" i="21" s="1"/>
  <c r="A22" i="21" s="1"/>
  <c r="A23" i="21" s="1"/>
  <c r="A26" i="21" s="1"/>
  <c r="A27" i="21" s="1"/>
  <c r="A28" i="21" s="1"/>
  <c r="A29" i="21" s="1"/>
  <c r="A30" i="21" s="1"/>
  <c r="A31" i="21" s="1"/>
  <c r="A32" i="21" s="1"/>
  <c r="A33" i="21" s="1"/>
  <c r="A37" i="21" s="1"/>
  <c r="A41" i="21" s="1"/>
  <c r="A42" i="21" s="1"/>
  <c r="A43" i="21" s="1"/>
  <c r="A44" i="21" s="1"/>
  <c r="A47" i="21" s="1"/>
  <c r="A48" i="21" s="1"/>
  <c r="A49" i="21" s="1"/>
  <c r="A50" i="21" s="1"/>
  <c r="S42" i="26" l="1"/>
  <c r="J27" i="26"/>
  <c r="F27" i="26" s="1"/>
  <c r="D30" i="26"/>
  <c r="I30" i="26"/>
  <c r="E30" i="26" s="1"/>
  <c r="X30" i="26" s="1"/>
  <c r="A51" i="21"/>
  <c r="A53" i="21" s="1"/>
  <c r="A56" i="21" s="1"/>
  <c r="A57" i="21" s="1"/>
  <c r="A58" i="21" s="1"/>
  <c r="E20" i="20"/>
  <c r="E21" i="20" s="1"/>
  <c r="H27" i="21" s="1"/>
  <c r="H29" i="21" s="1"/>
  <c r="H32" i="21" s="1"/>
  <c r="A3" i="20"/>
  <c r="A3" i="3"/>
  <c r="A3" i="15"/>
  <c r="A3" i="16"/>
  <c r="A3" i="4"/>
  <c r="N49" i="4"/>
  <c r="N50" i="4"/>
  <c r="N51" i="4"/>
  <c r="N48" i="4"/>
  <c r="H49" i="4"/>
  <c r="I49" i="4"/>
  <c r="J49" i="4"/>
  <c r="K49" i="4"/>
  <c r="L49" i="4"/>
  <c r="M49" i="4"/>
  <c r="H50" i="4"/>
  <c r="I50" i="4"/>
  <c r="J50" i="4"/>
  <c r="K50" i="4"/>
  <c r="L50" i="4"/>
  <c r="M50" i="4"/>
  <c r="H51" i="4"/>
  <c r="I51" i="4"/>
  <c r="J51" i="4"/>
  <c r="K51" i="4"/>
  <c r="L51" i="4"/>
  <c r="M51" i="4"/>
  <c r="I48" i="4"/>
  <c r="J48" i="4"/>
  <c r="K48" i="4"/>
  <c r="L48" i="4"/>
  <c r="M48" i="4"/>
  <c r="H48" i="4"/>
  <c r="D17" i="31" s="1"/>
  <c r="G49" i="4"/>
  <c r="G50" i="4"/>
  <c r="G51" i="4"/>
  <c r="G48" i="4"/>
  <c r="K45" i="4"/>
  <c r="A8" i="4"/>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M45" i="4"/>
  <c r="L45" i="4"/>
  <c r="J45" i="4"/>
  <c r="I45" i="4"/>
  <c r="H45" i="4"/>
  <c r="G45" i="4"/>
  <c r="F45" i="4"/>
  <c r="E12" i="4"/>
  <c r="G11" i="4"/>
  <c r="G12" i="4" s="1"/>
  <c r="D31" i="16"/>
  <c r="D113" i="9" s="1"/>
  <c r="D24" i="27" s="1"/>
  <c r="D110" i="9"/>
  <c r="D111" i="9" l="1"/>
  <c r="D22" i="27" s="1"/>
  <c r="D19" i="31"/>
  <c r="K52" i="4"/>
  <c r="J28" i="26"/>
  <c r="F28" i="26" s="1"/>
  <c r="D31" i="26"/>
  <c r="I31" i="26"/>
  <c r="E31" i="26" s="1"/>
  <c r="X31" i="26" s="1"/>
  <c r="D21" i="27"/>
  <c r="I22" i="9"/>
  <c r="N45" i="4"/>
  <c r="D14" i="25" s="1"/>
  <c r="I14" i="25" s="1"/>
  <c r="J52" i="4"/>
  <c r="G52" i="4"/>
  <c r="H52" i="4"/>
  <c r="L52" i="4"/>
  <c r="I52" i="4"/>
  <c r="M52" i="4"/>
  <c r="F12" i="4"/>
  <c r="D27" i="27" l="1"/>
  <c r="D116" i="9"/>
  <c r="J29" i="26"/>
  <c r="F29" i="26" s="1"/>
  <c r="D32" i="26"/>
  <c r="I32" i="26"/>
  <c r="E32" i="26" s="1"/>
  <c r="X32" i="26" s="1"/>
  <c r="N52" i="4"/>
  <c r="J30" i="26" l="1"/>
  <c r="F30" i="26" s="1"/>
  <c r="D33" i="26"/>
  <c r="I33" i="26"/>
  <c r="E33" i="26" s="1"/>
  <c r="X33" i="26" s="1"/>
  <c r="J31" i="26" l="1"/>
  <c r="F31" i="26" s="1"/>
  <c r="D34" i="26"/>
  <c r="I34" i="26"/>
  <c r="E34" i="26" s="1"/>
  <c r="X34" i="26" s="1"/>
  <c r="J32" i="26" l="1"/>
  <c r="F32" i="26" s="1"/>
  <c r="D35" i="26"/>
  <c r="I35" i="26"/>
  <c r="E35" i="26" s="1"/>
  <c r="X35" i="26" s="1"/>
  <c r="J33" i="26" l="1"/>
  <c r="F33" i="26" s="1"/>
  <c r="D36" i="26"/>
  <c r="I36" i="26"/>
  <c r="E36" i="26" s="1"/>
  <c r="X36" i="26" s="1"/>
  <c r="J34" i="26" l="1"/>
  <c r="F34" i="26" s="1"/>
  <c r="D37" i="26"/>
  <c r="I37" i="26"/>
  <c r="E37" i="26" s="1"/>
  <c r="X37" i="26" s="1"/>
  <c r="J35" i="26" l="1"/>
  <c r="F35" i="26" s="1"/>
  <c r="D38" i="26"/>
  <c r="I38" i="26"/>
  <c r="E38" i="26" s="1"/>
  <c r="X38" i="26" s="1"/>
  <c r="J36" i="26" l="1"/>
  <c r="F36" i="26" s="1"/>
  <c r="D39" i="26"/>
  <c r="I39" i="26"/>
  <c r="E39" i="26" s="1"/>
  <c r="X39" i="26" s="1"/>
  <c r="J37" i="26" l="1"/>
  <c r="F37" i="26" s="1"/>
  <c r="D40" i="26"/>
  <c r="I40" i="26"/>
  <c r="E40" i="26" s="1"/>
  <c r="X40" i="26" s="1"/>
  <c r="J38" i="26" l="1"/>
  <c r="F38" i="26" s="1"/>
  <c r="D41" i="26"/>
  <c r="D44" i="26" s="1"/>
  <c r="I41" i="26"/>
  <c r="E41" i="26" s="1"/>
  <c r="X41" i="26" s="1"/>
  <c r="X42" i="26" s="1"/>
  <c r="J39" i="26" l="1"/>
  <c r="F39" i="26" s="1"/>
  <c r="E43" i="26"/>
  <c r="D115" i="25" s="1"/>
  <c r="D119" i="25" s="1"/>
  <c r="I43" i="26"/>
  <c r="D49" i="25"/>
  <c r="D230" i="25" s="1"/>
  <c r="D234" i="25" s="1"/>
  <c r="F113" i="9"/>
  <c r="I220" i="9"/>
  <c r="I158" i="9"/>
  <c r="I93" i="9"/>
  <c r="K223" i="9"/>
  <c r="D226" i="9"/>
  <c r="G161" i="9"/>
  <c r="D164" i="9"/>
  <c r="D99" i="9"/>
  <c r="K96" i="9"/>
  <c r="J40" i="26" l="1"/>
  <c r="F40" i="26" s="1"/>
  <c r="D51" i="25"/>
  <c r="G212" i="9"/>
  <c r="D197" i="9"/>
  <c r="G195" i="9" s="1"/>
  <c r="I193" i="9"/>
  <c r="D191" i="9"/>
  <c r="G190" i="9"/>
  <c r="G189" i="9"/>
  <c r="G187" i="9"/>
  <c r="I177" i="9"/>
  <c r="I169" i="9"/>
  <c r="D137" i="9"/>
  <c r="D134" i="9"/>
  <c r="D39" i="27" s="1"/>
  <c r="C132" i="9"/>
  <c r="F128" i="9"/>
  <c r="C128" i="9"/>
  <c r="B121" i="9"/>
  <c r="B119" i="9"/>
  <c r="D86" i="9"/>
  <c r="I115" i="9"/>
  <c r="F111" i="9"/>
  <c r="D241" i="25"/>
  <c r="D240" i="25"/>
  <c r="D239" i="25"/>
  <c r="D61" i="9"/>
  <c r="F57" i="9"/>
  <c r="B57" i="9"/>
  <c r="B65" i="9" s="1"/>
  <c r="F56" i="9"/>
  <c r="B56" i="9"/>
  <c r="B64" i="9" s="1"/>
  <c r="F55" i="9"/>
  <c r="B55" i="9"/>
  <c r="B63" i="9" s="1"/>
  <c r="F54" i="9"/>
  <c r="F83" i="9" s="1"/>
  <c r="B54" i="9"/>
  <c r="B62" i="9" s="1"/>
  <c r="F53" i="9"/>
  <c r="B53" i="9"/>
  <c r="B61" i="9" s="1"/>
  <c r="D237" i="25" l="1"/>
  <c r="D66" i="9"/>
  <c r="J41" i="26"/>
  <c r="F41" i="26" s="1"/>
  <c r="F44" i="26" s="1"/>
  <c r="D141" i="9"/>
  <c r="D148" i="9" s="1"/>
  <c r="D214" i="9"/>
  <c r="D215" i="9" s="1"/>
  <c r="E213" i="9" s="1"/>
  <c r="I213" i="9" s="1"/>
  <c r="I202" i="25"/>
  <c r="I205" i="25" s="1"/>
  <c r="I165" i="25"/>
  <c r="I179" i="9"/>
  <c r="I181" i="9" s="1"/>
  <c r="I172" i="9"/>
  <c r="I174" i="9" s="1"/>
  <c r="I77" i="9" l="1"/>
  <c r="I76" i="9"/>
  <c r="G9" i="39"/>
  <c r="H9" i="39" s="1"/>
  <c r="G8" i="39"/>
  <c r="H8" i="39" s="1"/>
  <c r="I10" i="4"/>
  <c r="J10" i="4" s="1"/>
  <c r="C106" i="23"/>
  <c r="C107" i="23" s="1"/>
  <c r="D147" i="9"/>
  <c r="I182" i="9"/>
  <c r="I183" i="9" s="1"/>
  <c r="E188" i="9"/>
  <c r="G188" i="9" s="1"/>
  <c r="G191" i="9" s="1"/>
  <c r="I191" i="9" s="1"/>
  <c r="G14" i="9"/>
  <c r="J44" i="26"/>
  <c r="D54" i="25" s="1"/>
  <c r="D56" i="25" s="1"/>
  <c r="D210" i="25"/>
  <c r="D211" i="25" s="1"/>
  <c r="E208" i="25" s="1"/>
  <c r="I208" i="25" s="1"/>
  <c r="G46" i="9"/>
  <c r="G119" i="9"/>
  <c r="G83" i="9"/>
  <c r="G13" i="9"/>
  <c r="G54" i="9"/>
  <c r="E214" i="9"/>
  <c r="M11" i="30" s="1"/>
  <c r="O47" i="30" s="1"/>
  <c r="E212" i="9"/>
  <c r="I212" i="9" s="1"/>
  <c r="F16" i="40" l="1"/>
  <c r="G16" i="40" s="1"/>
  <c r="F15" i="40"/>
  <c r="G15" i="40" s="1"/>
  <c r="F14" i="40"/>
  <c r="G14" i="40" s="1"/>
  <c r="F12" i="40"/>
  <c r="F8" i="40"/>
  <c r="F10" i="40"/>
  <c r="G12" i="39"/>
  <c r="H12" i="39" s="1"/>
  <c r="G16" i="39"/>
  <c r="H16" i="39" s="1"/>
  <c r="G15" i="39"/>
  <c r="H15" i="39" s="1"/>
  <c r="G11" i="39"/>
  <c r="H11" i="39" s="1"/>
  <c r="G10" i="39"/>
  <c r="H10" i="39" s="1"/>
  <c r="E107" i="23"/>
  <c r="D106" i="23"/>
  <c r="D107" i="23" s="1"/>
  <c r="D59" i="25"/>
  <c r="D61" i="25" s="1"/>
  <c r="E209" i="25"/>
  <c r="I209" i="25" s="1"/>
  <c r="G48" i="9"/>
  <c r="G113" i="9"/>
  <c r="G108" i="9"/>
  <c r="G128" i="9"/>
  <c r="G112" i="9"/>
  <c r="G56" i="9"/>
  <c r="G127" i="9"/>
  <c r="G110" i="9"/>
  <c r="G120" i="9"/>
  <c r="E210" i="25"/>
  <c r="I210" i="25" s="1"/>
  <c r="G107" i="9"/>
  <c r="G106" i="9"/>
  <c r="G105" i="9"/>
  <c r="G111" i="9"/>
  <c r="G87" i="9"/>
  <c r="M11" i="29"/>
  <c r="O20" i="29" s="1"/>
  <c r="I11" i="30"/>
  <c r="K47" i="30" s="1"/>
  <c r="F47" i="30" s="1"/>
  <c r="I214" i="25" s="1"/>
  <c r="I214" i="9"/>
  <c r="I215" i="9" s="1"/>
  <c r="I11" i="29"/>
  <c r="I14" i="9"/>
  <c r="I195" i="9"/>
  <c r="K195" i="9" s="1"/>
  <c r="I11" i="4" s="1"/>
  <c r="J11" i="4" s="1"/>
  <c r="J12" i="4" s="1"/>
  <c r="D13" i="9" s="1"/>
  <c r="D13" i="25" s="1"/>
  <c r="I13" i="25" s="1"/>
  <c r="I17" i="25" s="1"/>
  <c r="I46" i="9"/>
  <c r="K20" i="29" l="1"/>
  <c r="F20" i="29" s="1"/>
  <c r="K19" i="29"/>
  <c r="H33" i="39"/>
  <c r="D88" i="9" s="1"/>
  <c r="I88" i="9" s="1"/>
  <c r="O37" i="29"/>
  <c r="F107" i="23"/>
  <c r="D83" i="25" s="1"/>
  <c r="I83" i="25" s="1"/>
  <c r="I13" i="9"/>
  <c r="I17" i="9" s="1"/>
  <c r="O38" i="29"/>
  <c r="O24" i="29"/>
  <c r="I211" i="25"/>
  <c r="D134" i="25" s="1"/>
  <c r="O31" i="29"/>
  <c r="O34" i="29"/>
  <c r="O29" i="29"/>
  <c r="O42" i="29"/>
  <c r="O33" i="29"/>
  <c r="O21" i="29"/>
  <c r="K34" i="29"/>
  <c r="D238" i="25"/>
  <c r="D242" i="25" s="1"/>
  <c r="K42" i="29"/>
  <c r="K26" i="29"/>
  <c r="O41" i="29"/>
  <c r="O35" i="29"/>
  <c r="O26" i="29"/>
  <c r="O30" i="29"/>
  <c r="O19" i="29"/>
  <c r="O39" i="29"/>
  <c r="O27" i="29"/>
  <c r="O25" i="29"/>
  <c r="O22" i="29"/>
  <c r="D138" i="9"/>
  <c r="K39" i="29"/>
  <c r="K31" i="29"/>
  <c r="K23" i="29"/>
  <c r="O40" i="29"/>
  <c r="O36" i="29"/>
  <c r="O28" i="29"/>
  <c r="O32" i="29"/>
  <c r="O23" i="29"/>
  <c r="K38" i="29"/>
  <c r="K30" i="29"/>
  <c r="K22" i="29"/>
  <c r="F22" i="29" s="1"/>
  <c r="K35" i="29"/>
  <c r="K27" i="29"/>
  <c r="F27" i="29" s="1"/>
  <c r="G49" i="9"/>
  <c r="I49" i="9" s="1"/>
  <c r="G114" i="9"/>
  <c r="G57" i="9"/>
  <c r="G121" i="9"/>
  <c r="K41" i="29"/>
  <c r="F41" i="29" s="1"/>
  <c r="K37" i="29"/>
  <c r="F37" i="29" s="1"/>
  <c r="K33" i="29"/>
  <c r="K29" i="29"/>
  <c r="K25" i="29"/>
  <c r="K21" i="29"/>
  <c r="K40" i="29"/>
  <c r="K36" i="29"/>
  <c r="K32" i="29"/>
  <c r="F32" i="29" s="1"/>
  <c r="K28" i="29"/>
  <c r="K24" i="29"/>
  <c r="I48" i="9"/>
  <c r="I54" i="9"/>
  <c r="I62" i="9" s="1"/>
  <c r="I105" i="9"/>
  <c r="F35" i="29" l="1"/>
  <c r="D84" i="25"/>
  <c r="I84" i="25" s="1"/>
  <c r="F30" i="29"/>
  <c r="F38" i="29"/>
  <c r="F26" i="29"/>
  <c r="F28" i="29"/>
  <c r="F21" i="29"/>
  <c r="F19" i="29"/>
  <c r="F34" i="29"/>
  <c r="F29" i="29"/>
  <c r="D87" i="9"/>
  <c r="F23" i="29"/>
  <c r="F24" i="29"/>
  <c r="F33" i="29"/>
  <c r="I148" i="9"/>
  <c r="F31" i="29"/>
  <c r="F25" i="29"/>
  <c r="F42" i="29"/>
  <c r="F36" i="29"/>
  <c r="F39" i="29"/>
  <c r="F40" i="29"/>
  <c r="I111" i="9"/>
  <c r="I106" i="9"/>
  <c r="I107" i="9"/>
  <c r="I50" i="9"/>
  <c r="G50" i="9" s="1"/>
  <c r="F13" i="40" s="1"/>
  <c r="I57" i="9"/>
  <c r="I65" i="9" s="1"/>
  <c r="I56" i="9"/>
  <c r="I119" i="9"/>
  <c r="I83" i="9"/>
  <c r="I218" i="9" l="1"/>
  <c r="I64" i="9"/>
  <c r="I66" i="9" s="1"/>
  <c r="G71" i="9"/>
  <c r="G147" i="9"/>
  <c r="G79" i="9"/>
  <c r="G74" i="9"/>
  <c r="G73" i="9"/>
  <c r="G72" i="9"/>
  <c r="I80" i="9"/>
  <c r="D89" i="9"/>
  <c r="I87" i="9"/>
  <c r="G130" i="9"/>
  <c r="I130" i="9" s="1"/>
  <c r="I112" i="9"/>
  <c r="I113" i="9"/>
  <c r="I58" i="9"/>
  <c r="I121" i="9"/>
  <c r="I114" i="9"/>
  <c r="I132" i="9"/>
  <c r="I108" i="9"/>
  <c r="G66" i="9" l="1"/>
  <c r="G8" i="40"/>
  <c r="G10" i="40"/>
  <c r="G13" i="40"/>
  <c r="G12" i="40"/>
  <c r="D91" i="9"/>
  <c r="D153" i="9" s="1"/>
  <c r="D146" i="9" s="1"/>
  <c r="I71" i="9"/>
  <c r="D12" i="27"/>
  <c r="I120" i="9"/>
  <c r="I123" i="9" s="1"/>
  <c r="I110" i="9"/>
  <c r="I116" i="9" s="1"/>
  <c r="G17" i="40" l="1"/>
  <c r="D144" i="9" s="1"/>
  <c r="I86" i="9"/>
  <c r="I89" i="9" s="1"/>
  <c r="I79" i="9"/>
  <c r="I147" i="9"/>
  <c r="E24" i="27"/>
  <c r="E19" i="27"/>
  <c r="E38" i="27"/>
  <c r="E25" i="27"/>
  <c r="E26" i="27"/>
  <c r="E21" i="27"/>
  <c r="E22" i="27"/>
  <c r="E17" i="27"/>
  <c r="E18" i="27"/>
  <c r="E33" i="27"/>
  <c r="E16" i="27"/>
  <c r="E37" i="27"/>
  <c r="E35" i="27"/>
  <c r="E32" i="27"/>
  <c r="E36" i="27"/>
  <c r="I128" i="9"/>
  <c r="I127" i="9"/>
  <c r="D140" i="25" l="1"/>
  <c r="D145" i="9"/>
  <c r="I72" i="9"/>
  <c r="I75" i="9"/>
  <c r="I74" i="9"/>
  <c r="I73" i="9"/>
  <c r="I134" i="9"/>
  <c r="I81" i="9" l="1"/>
  <c r="I91" i="9" s="1"/>
  <c r="D141" i="25"/>
  <c r="D145" i="25" s="1"/>
  <c r="I145" i="25" s="1"/>
  <c r="D149" i="9"/>
  <c r="I153" i="9" l="1"/>
  <c r="I146" i="9" s="1"/>
  <c r="I149" i="9"/>
  <c r="D150" i="9"/>
  <c r="D155" i="9" s="1"/>
  <c r="I150" i="9" l="1"/>
  <c r="I155" i="9" s="1"/>
  <c r="I168" i="25"/>
  <c r="I170" i="25" s="1"/>
  <c r="I10" i="9" l="1"/>
  <c r="I19" i="9" s="1"/>
  <c r="I73" i="25"/>
  <c r="I63" i="25"/>
  <c r="I72" i="25"/>
  <c r="G67" i="25"/>
  <c r="G230" i="25"/>
  <c r="I230" i="25" s="1"/>
  <c r="G115" i="25"/>
  <c r="G54" i="25"/>
  <c r="G49" i="25"/>
  <c r="G79" i="25"/>
  <c r="I178" i="25"/>
  <c r="E184" i="25"/>
  <c r="G184" i="25" s="1"/>
  <c r="G187" i="25" s="1"/>
  <c r="I187" i="25" s="1"/>
  <c r="D25" i="9" l="1"/>
  <c r="D27" i="9" s="1"/>
  <c r="H21" i="21"/>
  <c r="H23" i="21" s="1"/>
  <c r="G238" i="25"/>
  <c r="I238" i="25" s="1"/>
  <c r="G232" i="25"/>
  <c r="I232" i="25" s="1"/>
  <c r="G109" i="25"/>
  <c r="G104" i="25"/>
  <c r="G108" i="25"/>
  <c r="G55" i="25"/>
  <c r="G106" i="25"/>
  <c r="G50" i="25"/>
  <c r="I54" i="25"/>
  <c r="I49" i="25"/>
  <c r="I191" i="25"/>
  <c r="K191" i="25" s="1"/>
  <c r="I115" i="25"/>
  <c r="I79" i="25"/>
  <c r="D26" i="9" l="1"/>
  <c r="H37" i="21"/>
  <c r="H56" i="21" s="1"/>
  <c r="H53" i="21"/>
  <c r="D29" i="9"/>
  <c r="D31" i="9" s="1"/>
  <c r="D28" i="9"/>
  <c r="D30" i="9" s="1"/>
  <c r="G240" i="25"/>
  <c r="I240" i="25" s="1"/>
  <c r="G110" i="25"/>
  <c r="G233" i="25"/>
  <c r="I59" i="25"/>
  <c r="I50" i="25"/>
  <c r="D25" i="31" l="1"/>
  <c r="D26" i="31" s="1"/>
  <c r="D27" i="31" s="1"/>
  <c r="D29" i="31" s="1"/>
  <c r="D35" i="31" s="1"/>
  <c r="H57" i="21"/>
  <c r="H58" i="21" s="1"/>
  <c r="I19" i="25" s="1"/>
  <c r="G241" i="25"/>
  <c r="I233" i="25"/>
  <c r="I234" i="25" s="1"/>
  <c r="G234" i="25" s="1"/>
  <c r="I55" i="25"/>
  <c r="I60" i="25" s="1"/>
  <c r="I51" i="25"/>
  <c r="D37" i="31" l="1"/>
  <c r="D36" i="31"/>
  <c r="G143" i="25"/>
  <c r="G75" i="25"/>
  <c r="G69" i="25"/>
  <c r="G68" i="25"/>
  <c r="G66" i="25"/>
  <c r="I66" i="25" s="1"/>
  <c r="J99" i="37"/>
  <c r="J100" i="37" s="1"/>
  <c r="I241" i="25"/>
  <c r="I242" i="25" s="1"/>
  <c r="G242" i="25" s="1"/>
  <c r="G61" i="25" s="1"/>
  <c r="G126" i="25"/>
  <c r="G51" i="25"/>
  <c r="I61" i="25"/>
  <c r="I56" i="25"/>
  <c r="G116" i="25"/>
  <c r="G117" i="25"/>
  <c r="I117" i="25" s="1"/>
  <c r="D38" i="31" l="1"/>
  <c r="D40" i="31" s="1"/>
  <c r="D39" i="31"/>
  <c r="D41" i="31" s="1"/>
  <c r="I75" i="25"/>
  <c r="F13" i="27"/>
  <c r="F24" i="27" s="1"/>
  <c r="D109" i="25" s="1"/>
  <c r="D108" i="25"/>
  <c r="I116" i="25"/>
  <c r="I119" i="25" s="1"/>
  <c r="G123" i="25"/>
  <c r="P27" i="26" l="1"/>
  <c r="R27" i="26" s="1"/>
  <c r="T27" i="26" s="1"/>
  <c r="V27" i="26" s="1"/>
  <c r="P23" i="26"/>
  <c r="R23" i="26" s="1"/>
  <c r="T23" i="26" s="1"/>
  <c r="V23" i="26" s="1"/>
  <c r="P19" i="26"/>
  <c r="R19" i="26" s="1"/>
  <c r="T19" i="26" s="1"/>
  <c r="V19" i="26" s="1"/>
  <c r="P26" i="26"/>
  <c r="R26" i="26" s="1"/>
  <c r="T26" i="26" s="1"/>
  <c r="V26" i="26" s="1"/>
  <c r="P22" i="26"/>
  <c r="R22" i="26" s="1"/>
  <c r="T22" i="26" s="1"/>
  <c r="V22" i="26" s="1"/>
  <c r="P18" i="26"/>
  <c r="R18" i="26" s="1"/>
  <c r="T18" i="26" s="1"/>
  <c r="P20" i="26"/>
  <c r="R20" i="26" s="1"/>
  <c r="T20" i="26" s="1"/>
  <c r="V20" i="26" s="1"/>
  <c r="P29" i="26"/>
  <c r="R29" i="26" s="1"/>
  <c r="T29" i="26" s="1"/>
  <c r="V29" i="26" s="1"/>
  <c r="P25" i="26"/>
  <c r="R25" i="26" s="1"/>
  <c r="T25" i="26" s="1"/>
  <c r="V25" i="26" s="1"/>
  <c r="P21" i="26"/>
  <c r="R21" i="26" s="1"/>
  <c r="T21" i="26" s="1"/>
  <c r="V21" i="26" s="1"/>
  <c r="P28" i="26"/>
  <c r="R28" i="26" s="1"/>
  <c r="T28" i="26" s="1"/>
  <c r="V28" i="26" s="1"/>
  <c r="P24" i="26"/>
  <c r="R24" i="26" s="1"/>
  <c r="T24" i="26" s="1"/>
  <c r="V24" i="26" s="1"/>
  <c r="Q39" i="26"/>
  <c r="W39" i="26" s="1"/>
  <c r="Y39" i="26" s="1"/>
  <c r="AA39" i="26" s="1"/>
  <c r="Q35" i="26"/>
  <c r="W35" i="26" s="1"/>
  <c r="Y35" i="26" s="1"/>
  <c r="AA35" i="26" s="1"/>
  <c r="Q31" i="26"/>
  <c r="W31" i="26" s="1"/>
  <c r="Y31" i="26" s="1"/>
  <c r="AA31" i="26" s="1"/>
  <c r="Q38" i="26"/>
  <c r="W38" i="26" s="1"/>
  <c r="Y38" i="26" s="1"/>
  <c r="AA38" i="26" s="1"/>
  <c r="Q34" i="26"/>
  <c r="W34" i="26" s="1"/>
  <c r="Y34" i="26" s="1"/>
  <c r="AA34" i="26" s="1"/>
  <c r="Q41" i="26"/>
  <c r="W41" i="26" s="1"/>
  <c r="Y41" i="26" s="1"/>
  <c r="AA41" i="26" s="1"/>
  <c r="Q37" i="26"/>
  <c r="W37" i="26" s="1"/>
  <c r="Y37" i="26" s="1"/>
  <c r="AA37" i="26" s="1"/>
  <c r="Q33" i="26"/>
  <c r="W33" i="26" s="1"/>
  <c r="Y33" i="26" s="1"/>
  <c r="AA33" i="26" s="1"/>
  <c r="Q40" i="26"/>
  <c r="W40" i="26" s="1"/>
  <c r="Y40" i="26" s="1"/>
  <c r="AA40" i="26" s="1"/>
  <c r="Q36" i="26"/>
  <c r="W36" i="26" s="1"/>
  <c r="Y36" i="26" s="1"/>
  <c r="AA36" i="26" s="1"/>
  <c r="Q32" i="26"/>
  <c r="W32" i="26" s="1"/>
  <c r="Y32" i="26" s="1"/>
  <c r="AA32" i="26" s="1"/>
  <c r="F33" i="27"/>
  <c r="D124" i="25" s="1"/>
  <c r="F37" i="27"/>
  <c r="D128" i="25" s="1"/>
  <c r="I128" i="25" s="1"/>
  <c r="F19" i="27"/>
  <c r="D104" i="25" s="1"/>
  <c r="I104" i="25" s="1"/>
  <c r="F32" i="27"/>
  <c r="D123" i="25" s="1"/>
  <c r="F18" i="27"/>
  <c r="D103" i="25" s="1"/>
  <c r="F17" i="27"/>
  <c r="D102" i="25" s="1"/>
  <c r="F35" i="27"/>
  <c r="D126" i="25" s="1"/>
  <c r="I126" i="25" s="1"/>
  <c r="F16" i="27"/>
  <c r="F26" i="27"/>
  <c r="D111" i="25" s="1"/>
  <c r="I111" i="25" s="1"/>
  <c r="F36" i="27"/>
  <c r="D127" i="25" s="1"/>
  <c r="F25" i="27"/>
  <c r="D110" i="25" s="1"/>
  <c r="I110" i="25" s="1"/>
  <c r="F38" i="27"/>
  <c r="F21" i="27"/>
  <c r="D106" i="25" s="1"/>
  <c r="I106" i="25" s="1"/>
  <c r="F22" i="27"/>
  <c r="D107" i="25" s="1"/>
  <c r="I143" i="25"/>
  <c r="G124" i="25"/>
  <c r="F27" i="27" l="1"/>
  <c r="V18" i="26"/>
  <c r="T42" i="26"/>
  <c r="V42" i="26" s="1"/>
  <c r="W42" i="26"/>
  <c r="Y30" i="26"/>
  <c r="R42" i="26"/>
  <c r="P42" i="26"/>
  <c r="Q42" i="26"/>
  <c r="I124" i="25"/>
  <c r="D101" i="25"/>
  <c r="I173" i="25" s="1"/>
  <c r="I175" i="25" s="1"/>
  <c r="I177" i="25" s="1"/>
  <c r="I179" i="25" s="1"/>
  <c r="F39" i="27"/>
  <c r="D130" i="25"/>
  <c r="I123" i="25"/>
  <c r="I71" i="25"/>
  <c r="I68" i="25"/>
  <c r="D112" i="25" l="1"/>
  <c r="D82" i="25" s="1"/>
  <c r="D85" i="25" s="1"/>
  <c r="J101" i="37"/>
  <c r="J102" i="37" s="1"/>
  <c r="J104" i="37" s="1"/>
  <c r="J106" i="37" s="1"/>
  <c r="D67" i="25" s="1"/>
  <c r="AA30" i="26"/>
  <c r="Y42" i="26"/>
  <c r="I130" i="25"/>
  <c r="G102" i="25"/>
  <c r="G101" i="25"/>
  <c r="G107" i="25"/>
  <c r="G103" i="25"/>
  <c r="AA42" i="26" l="1"/>
  <c r="I101" i="25"/>
  <c r="I102" i="25" l="1"/>
  <c r="I103" i="25"/>
  <c r="I107" i="25"/>
  <c r="I109" i="25" l="1"/>
  <c r="I108" i="25"/>
  <c r="I112" i="25" l="1"/>
  <c r="I82" i="25" s="1"/>
  <c r="I85" i="25" s="1"/>
  <c r="I67" i="25" l="1"/>
  <c r="D144" i="25" l="1"/>
  <c r="I144" i="25" s="1"/>
  <c r="I152" i="37" l="1"/>
  <c r="J152" i="37" s="1"/>
  <c r="H153" i="37"/>
  <c r="H13" i="37" s="1"/>
  <c r="I13" i="37" s="1"/>
  <c r="H12" i="37"/>
  <c r="I153" i="37" l="1"/>
  <c r="J153" i="37" s="1"/>
  <c r="H154" i="37"/>
  <c r="H14" i="37" s="1"/>
  <c r="I14" i="37" s="1"/>
  <c r="I12" i="37"/>
  <c r="H155" i="37" l="1"/>
  <c r="H15" i="37" s="1"/>
  <c r="I15" i="37" s="1"/>
  <c r="I154" i="37"/>
  <c r="J12" i="37"/>
  <c r="J13" i="37" s="1"/>
  <c r="J14" i="37" s="1"/>
  <c r="J154" i="37"/>
  <c r="J15" i="37" l="1"/>
  <c r="I155" i="37"/>
  <c r="J155" i="37" s="1"/>
  <c r="H156" i="37"/>
  <c r="H16" i="37" s="1"/>
  <c r="I16" i="37" s="1"/>
  <c r="J16" i="37" l="1"/>
  <c r="I156" i="37"/>
  <c r="J156" i="37" s="1"/>
  <c r="H157" i="37"/>
  <c r="H17" i="37" s="1"/>
  <c r="I17" i="37" s="1"/>
  <c r="J17" i="37" l="1"/>
  <c r="H158" i="37"/>
  <c r="H18" i="37" s="1"/>
  <c r="I18" i="37" s="1"/>
  <c r="I157" i="37"/>
  <c r="J157" i="37" s="1"/>
  <c r="J18" i="37" l="1"/>
  <c r="I158" i="37"/>
  <c r="J158" i="37" s="1"/>
  <c r="H159" i="37"/>
  <c r="H19" i="37" s="1"/>
  <c r="I19" i="37" s="1"/>
  <c r="H160" i="37"/>
  <c r="H20" i="37" s="1"/>
  <c r="I20" i="37" s="1"/>
  <c r="J19" i="37" l="1"/>
  <c r="J20" i="37" s="1"/>
  <c r="I159" i="37"/>
  <c r="J159" i="37" s="1"/>
  <c r="I160" i="37"/>
  <c r="H161" i="37"/>
  <c r="H21" i="37" s="1"/>
  <c r="I21" i="37" s="1"/>
  <c r="J21" i="37" l="1"/>
  <c r="J160" i="37"/>
  <c r="H162" i="37"/>
  <c r="H22" i="37" s="1"/>
  <c r="I22" i="37" s="1"/>
  <c r="I161" i="37"/>
  <c r="J22" i="37" l="1"/>
  <c r="J161" i="37"/>
  <c r="I162" i="37"/>
  <c r="H163" i="37"/>
  <c r="H23" i="37" s="1"/>
  <c r="J162" i="37" l="1"/>
  <c r="I23" i="37"/>
  <c r="H24" i="37"/>
  <c r="I163" i="37"/>
  <c r="H164" i="37"/>
  <c r="J163" i="37" l="1"/>
  <c r="J170" i="37" s="1"/>
  <c r="J171" i="37" s="1"/>
  <c r="I24" i="37"/>
  <c r="J23" i="37"/>
  <c r="J32" i="37" s="1"/>
  <c r="J33" i="37" s="1"/>
  <c r="I164" i="37"/>
  <c r="I69" i="25" l="1"/>
  <c r="J35" i="37"/>
  <c r="D70" i="25" s="1"/>
  <c r="J173" i="37"/>
  <c r="J175" i="37" s="1"/>
  <c r="I70" i="25" l="1"/>
  <c r="D76" i="25"/>
  <c r="D77" i="25" s="1"/>
  <c r="I76" i="25" l="1"/>
  <c r="I77" i="25" s="1"/>
  <c r="I87" i="25" s="1"/>
  <c r="D87" i="25"/>
  <c r="D149" i="25" s="1"/>
  <c r="D142" i="25" s="1"/>
  <c r="D146" i="25" s="1"/>
  <c r="D151" i="25" s="1"/>
  <c r="I149" i="25" l="1"/>
  <c r="I142" i="25" s="1"/>
  <c r="I146" i="25" s="1"/>
  <c r="I151" i="25" s="1"/>
  <c r="I10" i="25" s="1"/>
  <c r="I21" i="25" s="1"/>
  <c r="D29" i="25" l="1"/>
  <c r="D30" i="25" s="1"/>
  <c r="I23" i="25"/>
  <c r="D31" i="25" l="1"/>
  <c r="D33" i="25" s="1"/>
  <c r="D35" i="25" s="1"/>
  <c r="D32" i="25" l="1"/>
  <c r="D34" i="25" s="1"/>
</calcChain>
</file>

<file path=xl/sharedStrings.xml><?xml version="1.0" encoding="utf-8"?>
<sst xmlns="http://schemas.openxmlformats.org/spreadsheetml/2006/main" count="2443" uniqueCount="1241">
  <si>
    <t xml:space="preserve">Formula Rate - Non-Levelized </t>
  </si>
  <si>
    <t xml:space="preserve">     Rate Formula Template</t>
  </si>
  <si>
    <t xml:space="preserve"> </t>
  </si>
  <si>
    <t xml:space="preserve"> Utilizing FERC Form 1 Data</t>
  </si>
  <si>
    <t>Line</t>
  </si>
  <si>
    <t>Allocated</t>
  </si>
  <si>
    <t>No.</t>
  </si>
  <si>
    <t>Amount</t>
  </si>
  <si>
    <t xml:space="preserve">REVENUE CREDITS </t>
  </si>
  <si>
    <t>Total</t>
  </si>
  <si>
    <t>Allocator</t>
  </si>
  <si>
    <t>TP</t>
  </si>
  <si>
    <t xml:space="preserve">  Account No. 454</t>
  </si>
  <si>
    <t>NET REVENUE REQUIREMENT</t>
  </si>
  <si>
    <t xml:space="preserve">DIVISOR </t>
  </si>
  <si>
    <t>(1)</t>
  </si>
  <si>
    <t>(2)</t>
  </si>
  <si>
    <t>(3)</t>
  </si>
  <si>
    <t>(4)</t>
  </si>
  <si>
    <t>(5)</t>
  </si>
  <si>
    <t>Form No. 1</t>
  </si>
  <si>
    <t>Transmission</t>
  </si>
  <si>
    <t>Page, Line, Col.</t>
  </si>
  <si>
    <t>Company Total</t>
  </si>
  <si>
    <t xml:space="preserve">                  Allocator</t>
  </si>
  <si>
    <t>(Col 3 times Col 4)</t>
  </si>
  <si>
    <t xml:space="preserve">  Production</t>
  </si>
  <si>
    <t>NA</t>
  </si>
  <si>
    <t xml:space="preserve">  Transmission</t>
  </si>
  <si>
    <t xml:space="preserve">  Distribution</t>
  </si>
  <si>
    <t xml:space="preserve">  General &amp; Intangible</t>
  </si>
  <si>
    <t>W/S</t>
  </si>
  <si>
    <t xml:space="preserve">  Common</t>
  </si>
  <si>
    <t>GP=</t>
  </si>
  <si>
    <t>NP=</t>
  </si>
  <si>
    <t xml:space="preserve">LAND HELD FOR FUTURE USE </t>
  </si>
  <si>
    <t>TE</t>
  </si>
  <si>
    <t>GP</t>
  </si>
  <si>
    <t xml:space="preserve">  Transmission </t>
  </si>
  <si>
    <t xml:space="preserve">     Less Account 565</t>
  </si>
  <si>
    <t xml:space="preserve">  A&amp;G</t>
  </si>
  <si>
    <t xml:space="preserve">  Transmission Lease Payments</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</si>
  <si>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</si>
  <si>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</si>
  <si>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</si>
  <si>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</si>
  <si>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</si>
  <si>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</si>
  <si>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</si>
  <si>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INCOME TAXES          </t>
  </si>
  <si>
    <t xml:space="preserve">RETURN </t>
  </si>
  <si>
    <t xml:space="preserve">TRANSMISSION EXPENSES </t>
  </si>
  <si>
    <t>TE=</t>
  </si>
  <si>
    <t>TP=</t>
  </si>
  <si>
    <t>WAGES &amp; SALARY ALLOCATOR   (W&amp;S)</t>
  </si>
  <si>
    <t>Form 1 Reference</t>
  </si>
  <si>
    <t>$</t>
  </si>
  <si>
    <t>Allocation</t>
  </si>
  <si>
    <t>W&amp;S Allocator</t>
  </si>
  <si>
    <t xml:space="preserve">  Other</t>
  </si>
  <si>
    <t>($ / Allocation)</t>
  </si>
  <si>
    <t>=</t>
  </si>
  <si>
    <t>% Electric</t>
  </si>
  <si>
    <t xml:space="preserve">  Electric</t>
  </si>
  <si>
    <t>200.3.c</t>
  </si>
  <si>
    <t>(line 17 / line 20)</t>
  </si>
  <si>
    <t>(line 16)</t>
  </si>
  <si>
    <t>CE</t>
  </si>
  <si>
    <t xml:space="preserve">  Gas</t>
  </si>
  <si>
    <t>*</t>
  </si>
  <si>
    <t>RETURN (R)</t>
  </si>
  <si>
    <t>Common Stock</t>
  </si>
  <si>
    <t>Cost</t>
  </si>
  <si>
    <t>%</t>
  </si>
  <si>
    <t>Weighted</t>
  </si>
  <si>
    <t>=WCLTD</t>
  </si>
  <si>
    <t>=R</t>
  </si>
  <si>
    <t>Note</t>
  </si>
  <si>
    <t>Letter</t>
  </si>
  <si>
    <t>A</t>
  </si>
  <si>
    <t>B</t>
  </si>
  <si>
    <t>C</t>
  </si>
  <si>
    <t>D</t>
  </si>
  <si>
    <t>E</t>
  </si>
  <si>
    <t>F</t>
  </si>
  <si>
    <t>G</t>
  </si>
  <si>
    <t>I</t>
  </si>
  <si>
    <t>J</t>
  </si>
  <si>
    <t>K</t>
  </si>
  <si>
    <t>R</t>
  </si>
  <si>
    <t>Includes income related only to transmission facilities, such as pole attachments, rentals and special use.</t>
  </si>
  <si>
    <t>TOTAL REVENUE CREDITS  (sum lines 2-5)</t>
  </si>
  <si>
    <t>Total Income Taxes</t>
  </si>
  <si>
    <t>FIT =</t>
  </si>
  <si>
    <t>SIT=</t>
  </si>
  <si>
    <t xml:space="preserve">  (State Income Tax Rate or Composite SIT)</t>
  </si>
  <si>
    <t>p =</t>
  </si>
  <si>
    <t xml:space="preserve">  (percent of federal income tax deductible for state purposes)</t>
  </si>
  <si>
    <t xml:space="preserve">     T=1 - {[(1 - SIT) * (1 - FIT)] / (1 - SIT * FIT * p)} =</t>
  </si>
  <si>
    <t xml:space="preserve">      1 / (1 - T)  = (from line 21)</t>
  </si>
  <si>
    <t>WS</t>
  </si>
  <si>
    <t xml:space="preserve">  CWC  </t>
  </si>
  <si>
    <t>5a</t>
  </si>
  <si>
    <t>219.20-24.c</t>
  </si>
  <si>
    <t>219.25.c</t>
  </si>
  <si>
    <t>219.26.c</t>
  </si>
  <si>
    <t>263.i</t>
  </si>
  <si>
    <t>201.3.d</t>
  </si>
  <si>
    <t>207.58.g</t>
  </si>
  <si>
    <t>207.75.g</t>
  </si>
  <si>
    <t xml:space="preserve">  Account No. 456.1</t>
  </si>
  <si>
    <t>205.46.g</t>
  </si>
  <si>
    <t>205.5.g &amp; 207.99.g</t>
  </si>
  <si>
    <t>321.112.b</t>
  </si>
  <si>
    <t>321.96.b</t>
  </si>
  <si>
    <t>323.197.b</t>
  </si>
  <si>
    <t>354.20.b</t>
  </si>
  <si>
    <t>354.21.b</t>
  </si>
  <si>
    <t>354.23.b</t>
  </si>
  <si>
    <t>References to data from FERC Form 1 are indicated as:   #.y.x  (page, line, column)</t>
  </si>
  <si>
    <t>General Note:   References to pages in this formulary rate are indicated as:  (page#, line#, col.#)</t>
  </si>
  <si>
    <t>354.24, 25, 26.b</t>
  </si>
  <si>
    <t>Rate Formula Template</t>
  </si>
  <si>
    <t>Utilizing FERC Form 1 Data</t>
  </si>
  <si>
    <t>Removes transmission plant determined by Commission order to be state-jurisdictional according to the seven-factor test (until Form 1 balances are adjusted to reflect application of seven-factor test).</t>
  </si>
  <si>
    <t>GROSS REVENUE REQUIREMENT  (page 3, line 31)</t>
  </si>
  <si>
    <t>6a</t>
  </si>
  <si>
    <t xml:space="preserve">  General &amp; Intangible </t>
  </si>
  <si>
    <t>Plant in Service, Accumulated Depreciation, and Depreciation Expense amounts exclude Asset Retirement Obligation amounts unless authorized by FERC.</t>
  </si>
  <si>
    <t>336.10.f &amp; 336.1.f</t>
  </si>
  <si>
    <t>Cheyenne Light, Fuel &amp; Power</t>
  </si>
  <si>
    <t>TRANSMISSION PLANT INCLUDED IN RATES</t>
  </si>
  <si>
    <t>(Note H)</t>
  </si>
  <si>
    <t xml:space="preserve">  Account No. 281 (enter negative)</t>
  </si>
  <si>
    <t xml:space="preserve">  Account No. 282 (enter negative)</t>
  </si>
  <si>
    <t xml:space="preserve">  Account No. 283 (enter negative)</t>
  </si>
  <si>
    <t xml:space="preserve">  Account No. 190 </t>
  </si>
  <si>
    <t xml:space="preserve">  FAS 109 Adjustment</t>
  </si>
  <si>
    <t xml:space="preserve">  Prepayments (Account 165)</t>
  </si>
  <si>
    <t>SUPPORTING CALCULATIONS AND NOTES</t>
  </si>
  <si>
    <t>Plant Type</t>
  </si>
  <si>
    <t xml:space="preserve">NET PLANT IN SERVICE  </t>
  </si>
  <si>
    <t xml:space="preserve">WORKING CAPITAL </t>
  </si>
  <si>
    <t xml:space="preserve">  Materials &amp; Supplies </t>
  </si>
  <si>
    <t xml:space="preserve">     Less Account 561</t>
  </si>
  <si>
    <t>2a</t>
  </si>
  <si>
    <t xml:space="preserve">O&amp;M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</si>
  <si>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</si>
  <si>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 xml:space="preserve">       where WCLTD=(page 3, line 27) and R= (page 3, line 30)</t>
  </si>
  <si>
    <t>5b</t>
  </si>
  <si>
    <t>5c</t>
  </si>
  <si>
    <t>Depreciation Rates</t>
  </si>
  <si>
    <t>Rates</t>
  </si>
  <si>
    <t xml:space="preserve">COMMON PLANT ALLOCATOR  (CE) </t>
  </si>
  <si>
    <t>Line #</t>
  </si>
  <si>
    <t xml:space="preserve">Total True Up Amount </t>
  </si>
  <si>
    <t>(line 1 minus line 6 plus line 6a)</t>
  </si>
  <si>
    <t>(a)</t>
  </si>
  <si>
    <t>(b)</t>
  </si>
  <si>
    <t>(c)</t>
  </si>
  <si>
    <t>(d)</t>
  </si>
  <si>
    <t>(e)</t>
  </si>
  <si>
    <t>(f)</t>
  </si>
  <si>
    <t>(g)</t>
  </si>
  <si>
    <t>(h)</t>
  </si>
  <si>
    <t>January</t>
  </si>
  <si>
    <t>February</t>
  </si>
  <si>
    <t>April</t>
  </si>
  <si>
    <t>May</t>
  </si>
  <si>
    <t>June</t>
  </si>
  <si>
    <t>July</t>
  </si>
  <si>
    <t>September</t>
  </si>
  <si>
    <t>October</t>
  </si>
  <si>
    <t>November</t>
  </si>
  <si>
    <t>Notes</t>
  </si>
  <si>
    <t>Reactive</t>
  </si>
  <si>
    <t>System</t>
  </si>
  <si>
    <t xml:space="preserve">Supply &amp; </t>
  </si>
  <si>
    <t>and</t>
  </si>
  <si>
    <t xml:space="preserve">Interco. </t>
  </si>
  <si>
    <t>Network</t>
  </si>
  <si>
    <t xml:space="preserve">Control &amp; </t>
  </si>
  <si>
    <t>Voltage</t>
  </si>
  <si>
    <t>Energy</t>
  </si>
  <si>
    <t xml:space="preserve">Spinning </t>
  </si>
  <si>
    <t>Dispatch</t>
  </si>
  <si>
    <t>Control</t>
  </si>
  <si>
    <t>Reserve</t>
  </si>
  <si>
    <t xml:space="preserve">Total of </t>
  </si>
  <si>
    <t xml:space="preserve">Service </t>
  </si>
  <si>
    <t xml:space="preserve">Type </t>
  </si>
  <si>
    <t>Description</t>
  </si>
  <si>
    <t>Type</t>
  </si>
  <si>
    <t>Items</t>
  </si>
  <si>
    <t>(i)</t>
  </si>
  <si>
    <t>(j)</t>
  </si>
  <si>
    <t>Credit</t>
  </si>
  <si>
    <t>Divisor</t>
  </si>
  <si>
    <t>Ancillary</t>
  </si>
  <si>
    <t>Summarized by Type:</t>
  </si>
  <si>
    <t>Other</t>
  </si>
  <si>
    <t>Ancillary services includes regulation &amp; frequency, control &amp; dispatch, voltage control, reactive, spinning reserve, and scheduling.</t>
  </si>
  <si>
    <t>Load associated with these revenues are included in the formula divisor.</t>
  </si>
  <si>
    <t>Revenue credit because the load is not included in divisor.</t>
  </si>
  <si>
    <t>Accumulated Deferred Income Taxes</t>
  </si>
  <si>
    <t>Notes:</t>
  </si>
  <si>
    <t>Administrative and General Expenses</t>
  </si>
  <si>
    <t>EPRI Annual Membership Dues</t>
  </si>
  <si>
    <t>335.1.b</t>
  </si>
  <si>
    <t>Regulatory Commission Expenses</t>
  </si>
  <si>
    <t>323.189.b</t>
  </si>
  <si>
    <t>Account No. 930.1</t>
  </si>
  <si>
    <t>323.191.b</t>
  </si>
  <si>
    <t>Transmission Related Regulatory Expense</t>
  </si>
  <si>
    <t>Account No. 920</t>
  </si>
  <si>
    <t>Account No. 926</t>
  </si>
  <si>
    <t>Adjustments</t>
  </si>
  <si>
    <t>454- Rent From Electric Property</t>
  </si>
  <si>
    <t>Rental Income on Transmission Facilities</t>
  </si>
  <si>
    <t>Rental Income on Other Facilities</t>
  </si>
  <si>
    <t>Total 454</t>
  </si>
  <si>
    <t>FERC Acct</t>
  </si>
  <si>
    <t>Revenue Credits</t>
  </si>
  <si>
    <t>Sched 7 &amp; 8</t>
  </si>
  <si>
    <t>Sched 9</t>
  </si>
  <si>
    <t>Sched 1</t>
  </si>
  <si>
    <t>Sched 2</t>
  </si>
  <si>
    <t>Sched 3</t>
  </si>
  <si>
    <t>Sched 4</t>
  </si>
  <si>
    <t>Sched 5</t>
  </si>
  <si>
    <t>Sched 6</t>
  </si>
  <si>
    <t>Transm</t>
  </si>
  <si>
    <t>PTP</t>
  </si>
  <si>
    <t>Trans</t>
  </si>
  <si>
    <t xml:space="preserve">Sched, </t>
  </si>
  <si>
    <t>Regul</t>
  </si>
  <si>
    <t>Freq</t>
  </si>
  <si>
    <t xml:space="preserve">Netwk &amp; </t>
  </si>
  <si>
    <t>Imbal</t>
  </si>
  <si>
    <t>Suppl</t>
  </si>
  <si>
    <t>Adjd Total</t>
  </si>
  <si>
    <t>Page 1</t>
  </si>
  <si>
    <t>Page 2</t>
  </si>
  <si>
    <t>Page 3</t>
  </si>
  <si>
    <t>Page 4</t>
  </si>
  <si>
    <t>/kW-year</t>
  </si>
  <si>
    <t>/kW-month</t>
  </si>
  <si>
    <t>/kW-week</t>
  </si>
  <si>
    <t>6 days/week</t>
  </si>
  <si>
    <t>/kW-day</t>
  </si>
  <si>
    <t>7 days/week</t>
  </si>
  <si>
    <t>16 hours/day</t>
  </si>
  <si>
    <t>24 hours/day</t>
  </si>
  <si>
    <t>12-CP</t>
  </si>
  <si>
    <t>RATES</t>
  </si>
  <si>
    <t xml:space="preserve">   Divisor (kW)</t>
  </si>
  <si>
    <t xml:space="preserve">   Annual</t>
  </si>
  <si>
    <t xml:space="preserve">   Monthly</t>
  </si>
  <si>
    <t xml:space="preserve">   Weekly</t>
  </si>
  <si>
    <t xml:space="preserve">   Daily On-Peak</t>
  </si>
  <si>
    <t xml:space="preserve">   Daily Off-Peak</t>
  </si>
  <si>
    <t xml:space="preserve">   Hourly On-Peak</t>
  </si>
  <si>
    <t xml:space="preserve">   Hourly Off-Peak</t>
  </si>
  <si>
    <t>EPRI &amp; Reg. Comm. Exp. &amp; Non-safety Ad.</t>
  </si>
  <si>
    <t xml:space="preserve">Transmission Related Regulatory Expense   </t>
  </si>
  <si>
    <t>(Note J)</t>
  </si>
  <si>
    <t>Timeline</t>
  </si>
  <si>
    <t>Step</t>
  </si>
  <si>
    <t>Month</t>
  </si>
  <si>
    <t>Year</t>
  </si>
  <si>
    <t>Action</t>
  </si>
  <si>
    <t>Oct</t>
  </si>
  <si>
    <t>Year 0</t>
  </si>
  <si>
    <t>Post results of Step 1</t>
  </si>
  <si>
    <t>Jan</t>
  </si>
  <si>
    <t>Year 1</t>
  </si>
  <si>
    <t>Results of Step 2 go into effect.</t>
  </si>
  <si>
    <t>Post results of Step 4</t>
  </si>
  <si>
    <t>Year 2</t>
  </si>
  <si>
    <t>Results of Step 5 go into effect.</t>
  </si>
  <si>
    <t>Jun</t>
  </si>
  <si>
    <t>Calculate  the difference between the formula rate calculated in Step 7 and Step 1</t>
  </si>
  <si>
    <t>Post results from Step 7 and Step 8</t>
  </si>
  <si>
    <t>Post results of Step 10</t>
  </si>
  <si>
    <t>Total Rev. Req.</t>
  </si>
  <si>
    <t>Actual Revenue Requirements from Step 7</t>
  </si>
  <si>
    <t>True-up Amount (before interest)</t>
  </si>
  <si>
    <t>Interest Calculation</t>
  </si>
  <si>
    <t>Short term Interest Rate</t>
  </si>
  <si>
    <t>Avg. Ann Short Term Int</t>
  </si>
  <si>
    <t>Other Interest Exp.(Acct. 431)</t>
  </si>
  <si>
    <t>Notes Payable (Acct. 231) Sum of the Daily amounts (Note C)</t>
  </si>
  <si>
    <t>No. of Days</t>
  </si>
  <si>
    <t>Annual Short-term Int Rate</t>
  </si>
  <si>
    <t>Qtr 3 (Previous Year)</t>
  </si>
  <si>
    <t>Qtr 4 (Previous Year)</t>
  </si>
  <si>
    <t>Qtr 1 (Current Year)</t>
  </si>
  <si>
    <t>Qtr 2 (Current Year)</t>
  </si>
  <si>
    <t xml:space="preserve">Average of the last 4 quarters </t>
  </si>
  <si>
    <t>Interest Rate Used for True-up adjustment (Note D)</t>
  </si>
  <si>
    <t>Total True-up</t>
  </si>
  <si>
    <t>Sum of the daily short-term borrowings is supplied from the Finance Department.</t>
  </si>
  <si>
    <t>Enter the Projected Revenue Requirement for the Actual period without a true-up adjustment.</t>
  </si>
  <si>
    <t>Table of Contents</t>
  </si>
  <si>
    <t>Overview</t>
  </si>
  <si>
    <t>Cells highlighted in yellow are data input cells, however, some cells may reference the results from other worksheets in the formula.  Such cell references  may change from year to year requiring manual adjustment of the reference or the direct entry of the proper value.</t>
  </si>
  <si>
    <t xml:space="preserve">                                                                                      </t>
  </si>
  <si>
    <t>Tab</t>
  </si>
  <si>
    <t>Schedule/Worksheet Designation</t>
  </si>
  <si>
    <t>Date to be Posted</t>
  </si>
  <si>
    <t>Actual revenue credits</t>
  </si>
  <si>
    <t>TU (True-up)</t>
  </si>
  <si>
    <t>Worksheet TU</t>
  </si>
  <si>
    <t>True-up Adjustment and Interest Calculation</t>
  </si>
  <si>
    <t>Projected transmission plant for next calendar year</t>
  </si>
  <si>
    <t>Projected expenses and revenue credits for next calendar year</t>
  </si>
  <si>
    <t>Projected transmission load for next calendar year</t>
  </si>
  <si>
    <t>Cheyenne Light, Fuel &amp; Power ("CLFP")</t>
  </si>
  <si>
    <t>CWIP</t>
  </si>
  <si>
    <t>LHFFU</t>
  </si>
  <si>
    <t>Line No</t>
  </si>
  <si>
    <t>Production</t>
  </si>
  <si>
    <t>Distribution</t>
  </si>
  <si>
    <t>General &amp; Intangible</t>
  </si>
  <si>
    <t>Common</t>
  </si>
  <si>
    <t>CWIP (Note C)</t>
  </si>
  <si>
    <t>Land Held for Future Use</t>
  </si>
  <si>
    <t xml:space="preserve">  Materials &amp; Supplies</t>
  </si>
  <si>
    <t>FN1 Reference for Dec</t>
  </si>
  <si>
    <t>216.x.b</t>
  </si>
  <si>
    <t>214.x.d</t>
  </si>
  <si>
    <t>219.28.c &amp; 200.21.c</t>
  </si>
  <si>
    <t>December Prior Year</t>
  </si>
  <si>
    <t xml:space="preserve">March </t>
  </si>
  <si>
    <t xml:space="preserve">August </t>
  </si>
  <si>
    <t xml:space="preserve">December </t>
  </si>
  <si>
    <t xml:space="preserve">Average of the 13 Monthly Balances </t>
  </si>
  <si>
    <t xml:space="preserve">Unamortized Regulatory Asset </t>
  </si>
  <si>
    <t xml:space="preserve">Unamortized Abandoned Plant  </t>
  </si>
  <si>
    <t xml:space="preserve">Account No. 281
Accumulated Deferred Income Taxes </t>
  </si>
  <si>
    <t xml:space="preserve">Account No. 282
Accumulated Deferred Income Taxes </t>
  </si>
  <si>
    <t xml:space="preserve">Account No. 283
Accumulated Deferred Income Taxes </t>
  </si>
  <si>
    <t xml:space="preserve">Account No. 190
Accumulated Deferred Income Taxes </t>
  </si>
  <si>
    <t>Notes A &amp; E</t>
  </si>
  <si>
    <t>Notes B &amp; F</t>
  </si>
  <si>
    <t>Average of the 13 Monthly Balances -</t>
  </si>
  <si>
    <t>Unfunded Reserves    (Note G)</t>
  </si>
  <si>
    <t>List of all reserves:</t>
  </si>
  <si>
    <t xml:space="preserve">Enter the percentage paid for by customers, 1 less the percent associated with an offsetting liability on the balance sheet </t>
  </si>
  <si>
    <t xml:space="preserve">Allocation (Plant or Labor Allocator) </t>
  </si>
  <si>
    <t>Amount Allocated, col. (c) x col. (d) x col. (e) x col. (f) x col. (g)</t>
  </si>
  <si>
    <t>Reserve 1</t>
  </si>
  <si>
    <t>Reserve 2</t>
  </si>
  <si>
    <t>Reserve 3</t>
  </si>
  <si>
    <t>Reserve 4</t>
  </si>
  <si>
    <t>…</t>
  </si>
  <si>
    <t>Recovery of any regulatory asset (project-specific regulatory asset or start-up regulatory asset) is limited to such regulatory assets authorized by FERC.</t>
  </si>
  <si>
    <t>Recovery of abandoned plant is limited to any abandoned plant recovery authorized by FERC.</t>
  </si>
  <si>
    <r>
      <rPr>
        <sz val="10"/>
        <rFont val="Times New Roman"/>
        <family val="1"/>
      </rPr>
      <t xml:space="preserve">Unamortized Abandoned Plant and Amortization of Abandoned Plant will be zero until the Commission accepts or approves recovery of the cost of abandoned plant. </t>
    </r>
    <r>
      <rPr>
        <strike/>
        <sz val="10"/>
        <rFont val="Times New Roman"/>
        <family val="1"/>
      </rPr>
      <t xml:space="preserve"> </t>
    </r>
  </si>
  <si>
    <t>Page 5</t>
  </si>
  <si>
    <t>M</t>
  </si>
  <si>
    <t>(Note M)</t>
  </si>
  <si>
    <t>Rate Base Worksheet</t>
  </si>
  <si>
    <t>(Sum of Lines 1 through 5)</t>
  </si>
  <si>
    <t>TOTAL GROSS PLANT</t>
  </si>
  <si>
    <t>(Sum of Lines 7 through 11)</t>
  </si>
  <si>
    <t>TOTAL ACCUM. DEPRECIATION</t>
  </si>
  <si>
    <t>(Sum of Lines 13 through 17)</t>
  </si>
  <si>
    <t xml:space="preserve">TOTAL NET PLANT </t>
  </si>
  <si>
    <t>18a</t>
  </si>
  <si>
    <t xml:space="preserve">  CWIP Approved by FERC Order</t>
  </si>
  <si>
    <t xml:space="preserve">  Unamortized Regulatory Asset </t>
  </si>
  <si>
    <t xml:space="preserve">  Unamortized Abandoned Plant  </t>
  </si>
  <si>
    <t>DA</t>
  </si>
  <si>
    <t xml:space="preserve">  Unfunded Reserves (enter negative)</t>
  </si>
  <si>
    <t>23a</t>
  </si>
  <si>
    <t>23b</t>
  </si>
  <si>
    <t>23c</t>
  </si>
  <si>
    <t>TOTAL WORKING CAPITAL</t>
  </si>
  <si>
    <t>(Sum of Lines 28 through 30)</t>
  </si>
  <si>
    <t xml:space="preserve">TOTAL ADJUSTMENTS </t>
  </si>
  <si>
    <t>336.7.f</t>
  </si>
  <si>
    <t>Tax Effect of Permanent Differences</t>
  </si>
  <si>
    <t>11a</t>
  </si>
  <si>
    <t>24a</t>
  </si>
  <si>
    <t>24b</t>
  </si>
  <si>
    <t>266.8.f</t>
  </si>
  <si>
    <t>336.11.f</t>
  </si>
  <si>
    <t xml:space="preserve">Total </t>
  </si>
  <si>
    <t xml:space="preserve">  Amortization of Abandoned Plant</t>
  </si>
  <si>
    <t xml:space="preserve">TOTAL DEPRECIATION </t>
  </si>
  <si>
    <t>(Sum of Lines 9 through 11a)</t>
  </si>
  <si>
    <t>(Sum of Lines 13 through 19)</t>
  </si>
  <si>
    <t xml:space="preserve">TOTAL OTHER TAXES </t>
  </si>
  <si>
    <t>(Line 22 times Line 28)</t>
  </si>
  <si>
    <t>(Line 23 times Line 24)</t>
  </si>
  <si>
    <t xml:space="preserve">Income Tax Calculation </t>
  </si>
  <si>
    <t>ITC Adjustment</t>
  </si>
  <si>
    <t>26a</t>
  </si>
  <si>
    <t>26b</t>
  </si>
  <si>
    <t xml:space="preserve">Excess Deferred Income Tax Adjustment </t>
  </si>
  <si>
    <t>Permanent Differences Tax Adjustment</t>
  </si>
  <si>
    <t>(Line 23 times Line 24a)</t>
  </si>
  <si>
    <t>(Line 23 times Line 24b)</t>
  </si>
  <si>
    <t>(Sum of Lines 8, 12, 20, 27, 28)</t>
  </si>
  <si>
    <t>REV. REQUIREMENT</t>
  </si>
  <si>
    <t>(Page 2, Line 2, Column 3)</t>
  </si>
  <si>
    <t>Total transmission plant</t>
  </si>
  <si>
    <t xml:space="preserve">Less transmission plant excluded from Wholesale Rates </t>
  </si>
  <si>
    <t xml:space="preserve">Less transmission plant included in OATT Ancillary Services </t>
  </si>
  <si>
    <t xml:space="preserve">Transmission plant included in Wholesale Rates  </t>
  </si>
  <si>
    <t>(Line 1 less Lines 2 &amp; 3)</t>
  </si>
  <si>
    <t xml:space="preserve">Percentage of transmission plant included in Wholesale Rates </t>
  </si>
  <si>
    <t xml:space="preserve"> (Line 4 divided by Line 1)</t>
  </si>
  <si>
    <t xml:space="preserve">Total transmission expenses  </t>
  </si>
  <si>
    <t>(Line 6 less Line 7)</t>
  </si>
  <si>
    <t>Included transmission expenses</t>
  </si>
  <si>
    <t xml:space="preserve">Percentage of transmission expenses after adjustment  </t>
  </si>
  <si>
    <t xml:space="preserve">Percentage of transmission plant included in wholesale Rates  </t>
  </si>
  <si>
    <t>(Line 5)</t>
  </si>
  <si>
    <t>(Line 9 times Line 10)</t>
  </si>
  <si>
    <t>Percentage of transmission expenses included in wholesale Rates</t>
  </si>
  <si>
    <t>(Note E)</t>
  </si>
  <si>
    <t xml:space="preserve">Less transmission expenses included in OATT Ancillary Services </t>
  </si>
  <si>
    <t>(Page 3, Line 1, column 3)</t>
  </si>
  <si>
    <t>(Line 8 divided by Line 6)</t>
  </si>
  <si>
    <t>(Sum of Lies 12-15)</t>
  </si>
  <si>
    <t xml:space="preserve">  Total  </t>
  </si>
  <si>
    <t>(Sum of Lines 17-19)</t>
  </si>
  <si>
    <t>118.29.c (positive number)</t>
  </si>
  <si>
    <t>Preferred Dividends</t>
  </si>
  <si>
    <t>Long Term Interest</t>
  </si>
  <si>
    <t>Development of Common Stock:</t>
  </si>
  <si>
    <t>112.16.c</t>
  </si>
  <si>
    <t xml:space="preserve">(Line 28) </t>
  </si>
  <si>
    <t>Proprietary Capital</t>
  </si>
  <si>
    <t xml:space="preserve">Less Preferred Stock </t>
  </si>
  <si>
    <t xml:space="preserve">Less Account 216.1 </t>
  </si>
  <si>
    <t xml:space="preserve"> 112, sum of  18.c through 21.c</t>
  </si>
  <si>
    <t>112.3.c</t>
  </si>
  <si>
    <t xml:space="preserve">  Long Term Debt</t>
  </si>
  <si>
    <t xml:space="preserve">  Preferred Stock </t>
  </si>
  <si>
    <t xml:space="preserve">  Common Stock </t>
  </si>
  <si>
    <t>CLFP populates the formula rate using projected costs for Year 2</t>
  </si>
  <si>
    <t>CLFP populates the formula rate using actual costs for Year 1</t>
  </si>
  <si>
    <t>CLFP populates the formula rate using projected costs for Year 3, including true-up adjustment for Year 1</t>
  </si>
  <si>
    <t>CLFP populates the formula rate using projected costs for Year 1</t>
  </si>
  <si>
    <t>Interest rates posted by FERC</t>
  </si>
  <si>
    <t>Reserved for future use</t>
  </si>
  <si>
    <t>H</t>
  </si>
  <si>
    <t xml:space="preserve">         Inputs Required:</t>
  </si>
  <si>
    <t xml:space="preserve">  (Federal Income Tax Rate)</t>
  </si>
  <si>
    <t>L</t>
  </si>
  <si>
    <t>Removes dollar amount of transmission plant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t>
  </si>
  <si>
    <t>N</t>
  </si>
  <si>
    <t>O</t>
  </si>
  <si>
    <t>P</t>
  </si>
  <si>
    <t>Q</t>
  </si>
  <si>
    <t>S</t>
  </si>
  <si>
    <t>T</t>
  </si>
  <si>
    <t>U</t>
  </si>
  <si>
    <t>V</t>
  </si>
  <si>
    <t>AFUDC ceases when CWIP is recovered in rate base.  No CWIP will be included in rate base on line 18a absent FERC authorization.</t>
  </si>
  <si>
    <t>(Note S)</t>
  </si>
  <si>
    <t xml:space="preserve">ADJUSTMENTS TO RATE BASE </t>
  </si>
  <si>
    <t xml:space="preserve">     Less EPRI &amp; Reg. Comm. Exp. &amp; Non-safety  Ad.  (Note I)</t>
  </si>
  <si>
    <t>(Note K)</t>
  </si>
  <si>
    <t>(Note L)</t>
  </si>
  <si>
    <t>TAXES OTHER THAN INCOME TAXES  (Note D)</t>
  </si>
  <si>
    <t xml:space="preserve">ROE will be supported in the original filing and no change in ROE may be made absent a filing with FERC.  </t>
  </si>
  <si>
    <t>GROSS PLANT IN SERVICE     (Note A)</t>
  </si>
  <si>
    <t>ACCUMULATED DEPRECIATION   (Note A)</t>
  </si>
  <si>
    <t>(Notes C &amp; O)</t>
  </si>
  <si>
    <t>RATE BASE: (Note A, V)</t>
  </si>
  <si>
    <t>DEPRECIATION AND AMORTIZATION EXPENSE (Note A)</t>
  </si>
  <si>
    <t>ACCOUNT 454 (RENT FROM ELECTRIC PROPERTY)  (Note A)</t>
  </si>
  <si>
    <t>Company Records (Note A)</t>
  </si>
  <si>
    <t>Company Records (Note B)</t>
  </si>
  <si>
    <t>Item</t>
  </si>
  <si>
    <t>Actual Attachment H</t>
  </si>
  <si>
    <t>Projected Attachment H</t>
  </si>
  <si>
    <t xml:space="preserve">(Note N) </t>
  </si>
  <si>
    <t>Page 60 of 68</t>
  </si>
  <si>
    <t>Page 2 of 4</t>
  </si>
  <si>
    <t>Page 3 of 4</t>
  </si>
  <si>
    <t>Gross Plant</t>
  </si>
  <si>
    <t>Depreciation</t>
  </si>
  <si>
    <t>Accum. Dep.</t>
  </si>
  <si>
    <t>12 Mon Tot</t>
  </si>
  <si>
    <t>13 Mon Avg</t>
  </si>
  <si>
    <t>Projected Plant</t>
  </si>
  <si>
    <t>Plant</t>
  </si>
  <si>
    <t>Projected</t>
  </si>
  <si>
    <t>Accumulated</t>
  </si>
  <si>
    <t>Plant in Service</t>
  </si>
  <si>
    <t>Ratio of</t>
  </si>
  <si>
    <t>Expense</t>
  </si>
  <si>
    <t>Actual</t>
  </si>
  <si>
    <t>To Net</t>
  </si>
  <si>
    <t>Costs</t>
  </si>
  <si>
    <t>(Ratio of Cost to total)</t>
  </si>
  <si>
    <t>(Ratio * Proj. Net Plant)</t>
  </si>
  <si>
    <t xml:space="preserve">Net Plant in Service </t>
  </si>
  <si>
    <t xml:space="preserve">Projected Net Plant in Service </t>
  </si>
  <si>
    <t>Operation and Maintenance Expenses</t>
  </si>
  <si>
    <t>Other Taxes</t>
  </si>
  <si>
    <t>Projected Other Taxes</t>
  </si>
  <si>
    <t>Line No.</t>
  </si>
  <si>
    <t>Transmission Network Load</t>
  </si>
  <si>
    <t>a</t>
  </si>
  <si>
    <t>b</t>
  </si>
  <si>
    <t>c</t>
  </si>
  <si>
    <t>d</t>
  </si>
  <si>
    <t>e</t>
  </si>
  <si>
    <t>f</t>
  </si>
  <si>
    <t>Projected Transmission Network Load</t>
  </si>
  <si>
    <t>March</t>
  </si>
  <si>
    <t>August</t>
  </si>
  <si>
    <t>December</t>
  </si>
  <si>
    <t xml:space="preserve">Note: </t>
  </si>
  <si>
    <t>Act Att-H</t>
  </si>
  <si>
    <t>A1-RevCred</t>
  </si>
  <si>
    <t>A2-A&amp;G</t>
  </si>
  <si>
    <t>A3-ADIT</t>
  </si>
  <si>
    <t>A4-Rate Base</t>
  </si>
  <si>
    <t>A5-Depr</t>
  </si>
  <si>
    <t>A6-Divisor</t>
  </si>
  <si>
    <t>Proj Att-H</t>
  </si>
  <si>
    <t>P1-Trans Plant</t>
  </si>
  <si>
    <t>P2-Exp. &amp; Rev. Credits</t>
  </si>
  <si>
    <t>P3-Trans. Network Load</t>
  </si>
  <si>
    <t>Worksheet A1</t>
  </si>
  <si>
    <t>Worksheet A2</t>
  </si>
  <si>
    <t>Worksheet A3</t>
  </si>
  <si>
    <t>Worksheet A4</t>
  </si>
  <si>
    <t>Worksheet A5</t>
  </si>
  <si>
    <t>Worksheet A6</t>
  </si>
  <si>
    <t>Worksheet P1</t>
  </si>
  <si>
    <t>Worksheet P2</t>
  </si>
  <si>
    <t>Worksheet P3</t>
  </si>
  <si>
    <t>Actual Annual Transmission Revenue Requirements for most recent calendar year</t>
  </si>
  <si>
    <t>Actual A&amp;G Expense supporting data</t>
  </si>
  <si>
    <t>Actual Depreciation Rates</t>
  </si>
  <si>
    <t>Actual Transmission Load Data for Calculating Rate Divisors</t>
  </si>
  <si>
    <t>Projected Annual Transmission Revenue Requirements for next calendar year</t>
  </si>
  <si>
    <t>Actual Accumulated Deferred Income Tax data</t>
  </si>
  <si>
    <t>Actual Rate Base data</t>
  </si>
  <si>
    <t>Transmission Formula Rate Template</t>
  </si>
  <si>
    <t>321.85-92.b</t>
  </si>
  <si>
    <t xml:space="preserve">% of transmission expenses after adjustment  </t>
  </si>
  <si>
    <t xml:space="preserve">% of transmission plant included in wholesale Rates  </t>
  </si>
  <si>
    <t>% of transmission expenses included in wholesale Rates</t>
  </si>
  <si>
    <t>True-Up Adjustment</t>
  </si>
  <si>
    <t>FERC Qtr Int. Rate (Note A)</t>
  </si>
  <si>
    <t>True-up Adjustment</t>
  </si>
  <si>
    <t>Revenue Types:</t>
  </si>
  <si>
    <t xml:space="preserve">Divisor  </t>
  </si>
  <si>
    <t>KW</t>
  </si>
  <si>
    <t>Projected Transmission Plant</t>
  </si>
  <si>
    <t>Projected Expenses and Revenue Credits</t>
  </si>
  <si>
    <t xml:space="preserve">Worksheet P3 </t>
  </si>
  <si>
    <t>Divisor - Network Transmission Load</t>
  </si>
  <si>
    <t>Avg. Transmission Network Load for Jan-Aug (kW)</t>
  </si>
  <si>
    <t>Average</t>
  </si>
  <si>
    <t>Estimated Monthly Transmission Network Load for Sep-Dec                       ( Col. b  * c)</t>
  </si>
  <si>
    <t>Avg Monthly Transmission Network Load  for Jan-Aug                   (Col e, line 2-9)</t>
  </si>
  <si>
    <t>Actual Load  for Jan-Aug</t>
  </si>
  <si>
    <t>Monthly Transmission Network Load as Percentage of the Average Total Network Load of Jan-Aug (Worksheet A6)</t>
  </si>
  <si>
    <t>(Worksheet P3, Line 15)</t>
  </si>
  <si>
    <t>Held for Future Use</t>
  </si>
  <si>
    <t xml:space="preserve">RATE BASE </t>
  </si>
  <si>
    <t>RATE BASE</t>
  </si>
  <si>
    <t>(Sum lines 18, 26, 27, &amp; 31)</t>
  </si>
  <si>
    <t xml:space="preserve">RATE BASE: </t>
  </si>
  <si>
    <t xml:space="preserve">         Payment in Lieu of Taxes</t>
  </si>
  <si>
    <t xml:space="preserve">     Less EPRI &amp; Reg. Comm. Exp. &amp; Non-safety  Ad. </t>
  </si>
  <si>
    <t xml:space="preserve">     Plus Transmission Related Reg. Comm. Exp. </t>
  </si>
  <si>
    <t xml:space="preserve">TOTAL O&amp;M </t>
  </si>
  <si>
    <t>Reference</t>
  </si>
  <si>
    <t>Actual Attachment H, Page 2 Line 18</t>
  </si>
  <si>
    <t>Actual Attachment H, Page 3, Line 1</t>
  </si>
  <si>
    <t>Actual Attachment H, Page 3, Line 2</t>
  </si>
  <si>
    <t>Actual Attachment H, Page 3, Line 3</t>
  </si>
  <si>
    <t>Actual Attachment H, Page 3, Line 2a</t>
  </si>
  <si>
    <t>Actual Attachment H, Page 3, Line 5</t>
  </si>
  <si>
    <t>Actual Attachment H, Page 3, Line 6</t>
  </si>
  <si>
    <t>Actual Attachment H, Page 3, Line 7</t>
  </si>
  <si>
    <t>Actual Attachment H, Page 3, Line 10</t>
  </si>
  <si>
    <t>Actual Attachment H, Page 3, Line 5a</t>
  </si>
  <si>
    <t>Actual Attachment H, Page 3, Line 5b</t>
  </si>
  <si>
    <t>Actual Attachment H, Page 3, Line 5c</t>
  </si>
  <si>
    <t>Actual Attachment H, Page 3, Line 13</t>
  </si>
  <si>
    <t>Actual Attachment H, Page 3, Line 14</t>
  </si>
  <si>
    <t>Actual Attachment H, Page 3, Line 16</t>
  </si>
  <si>
    <t>Actual Attachment H, Page 3, Line 17</t>
  </si>
  <si>
    <t>Actual Attachment H, Page 3, Line 18</t>
  </si>
  <si>
    <t>Actual Attachment H, Page 3, Line 19</t>
  </si>
  <si>
    <t>(Sum Lines 15-21)</t>
  </si>
  <si>
    <t>Actual Attachment H, Page 3, Line 11</t>
  </si>
  <si>
    <t>Actual Attachment H, Page 3, Line 24</t>
  </si>
  <si>
    <t>Actual Attachment H, Page 3, Line 24b</t>
  </si>
  <si>
    <t>Actual Attachment H, Page 4, Line 12</t>
  </si>
  <si>
    <t>Actual Attachment H, Page 4, Line 13</t>
  </si>
  <si>
    <t>Actual Attachment H, Page 4, Line 14</t>
  </si>
  <si>
    <t>Actual Attachment H, Page 4, Line 15</t>
  </si>
  <si>
    <t>Actual Attachment H, Page 4, Line 17</t>
  </si>
  <si>
    <t>Actual Attachment H, Page 4, Line 18</t>
  </si>
  <si>
    <t>Actual Attachment H, Page 4, Line 19</t>
  </si>
  <si>
    <t>Actual Attachment H, Page 4, Line 21</t>
  </si>
  <si>
    <t>Actual Attachment H, Page 4, Line 22</t>
  </si>
  <si>
    <t>Actual Attachment H, Page 4, Line 23</t>
  </si>
  <si>
    <t>Actual Attachment H, Page 4, Line 24</t>
  </si>
  <si>
    <t>Actual Attachment H, Page 4, Line 25</t>
  </si>
  <si>
    <t>Actual Attachment H, Page 4, Line 28</t>
  </si>
  <si>
    <t>Actual Attachment H, Page 4, Line 29</t>
  </si>
  <si>
    <t>Actual Attachment H, Page 4, Line 1</t>
  </si>
  <si>
    <t>Actual Attachment H, Page 4, Line 2</t>
  </si>
  <si>
    <t>Actual Attachment H, Page 4, Line 3</t>
  </si>
  <si>
    <t>Actual Attachment H, Page 4, Line 7</t>
  </si>
  <si>
    <t>Actual Attachment H, Page 2, Line 24</t>
  </si>
  <si>
    <t>Actual Attachment H, Page 2, Line 23c</t>
  </si>
  <si>
    <t>(Sum Lines 1 and 2)</t>
  </si>
  <si>
    <t>(Sum Lines 7 and 8)</t>
  </si>
  <si>
    <t>(Line 2 - Line 5)</t>
  </si>
  <si>
    <t>(Line 1 - Line 4)</t>
  </si>
  <si>
    <t>1/8*(Page 3, Line 8)</t>
  </si>
  <si>
    <t xml:space="preserve">Worksheet P2, Column 5, Line 3 </t>
  </si>
  <si>
    <t>Worksheet P2, Column 5, Line 4</t>
  </si>
  <si>
    <t>Worksheet P2, Column 5, Line 5</t>
  </si>
  <si>
    <t>Worksheet P2, Column 5, Line 6</t>
  </si>
  <si>
    <t>Worksheet P2, Column 5, Line 8</t>
  </si>
  <si>
    <t>Worksheet P2, Column 5, Line 9</t>
  </si>
  <si>
    <t>Worksheet P2, Column 5, Line 10</t>
  </si>
  <si>
    <t>Worksheet P2, Column 5, Line 11</t>
  </si>
  <si>
    <t>Worksheet P2, Column 5, Line 12</t>
  </si>
  <si>
    <t>Worksheet P2, Column 5, Line 13</t>
  </si>
  <si>
    <t>(Note A)</t>
  </si>
  <si>
    <t xml:space="preserve">       and FIT, SIT &amp; p are as given in Note A.</t>
  </si>
  <si>
    <t xml:space="preserve">       and FIT, SIT &amp; p are as given in Note K.</t>
  </si>
  <si>
    <t xml:space="preserve">GROSS PLANT IN SERVICE     </t>
  </si>
  <si>
    <t xml:space="preserve">ACCUMULATED DEPRECIATION </t>
  </si>
  <si>
    <t xml:space="preserve">     Less EPRI &amp; Reg. Comm. Exp. &amp; Non-safety  Ad</t>
  </si>
  <si>
    <t xml:space="preserve">     Plus Transmission Related Reg. Comm. Exp.</t>
  </si>
  <si>
    <t xml:space="preserve">DEPRECIATION AND AMORTIZATION EXPENSE </t>
  </si>
  <si>
    <t xml:space="preserve">TAXES OTHER THAN INCOME TAXES </t>
  </si>
  <si>
    <t>Plant Additions</t>
  </si>
  <si>
    <t>Accrual (Note A)</t>
  </si>
  <si>
    <t>Actual transmission depreciation expense (Actual Attachment H, page 3, line 9) divided by actual transmission plant in service (Actual Attachment H, page 2, line 2) divided by 12 months.</t>
  </si>
  <si>
    <t>Projected Attachment H, Page 2, Line 9</t>
  </si>
  <si>
    <t>The formula is calculated in two steps.  The first step is to fill out the A tabs, and the Actual Attachment H tab with data from the previous year's Form 1 information.  This information is used to update the formulas in the Actual Net Rev Req tab to calculate the Actual Revenue Requirement (Actual ATRR) for the previous year.  The results of this calculation are presented to the customers for review in June of each year.</t>
  </si>
  <si>
    <t>The TU (True-up) tab uses the revenue requirement from the Actual Attachment H tab and compares it to the revenue requirement from the Projected Attachment H tab that customers were billed for the same period.  Interest is added to the difference and the amount is added to the Projected Attachment H tab via the True Up Adjustment line.</t>
  </si>
  <si>
    <t>Worksheet A2 Line 5</t>
  </si>
  <si>
    <t>(Worksheet A1, line 6)</t>
  </si>
  <si>
    <t>(Worksheet A6, Line 14)</t>
  </si>
  <si>
    <t>(Note W)</t>
  </si>
  <si>
    <t>W</t>
  </si>
  <si>
    <t>If applicable, a separate workpaper will be provided and posted with other supporting documentation.</t>
  </si>
  <si>
    <t>&amp;Year</t>
  </si>
  <si>
    <t>Worksheet A4, Page 1, Line 14, Col. (b)</t>
  </si>
  <si>
    <t>Worksheet A4, Page 1, Line 14, Col. (c)</t>
  </si>
  <si>
    <t>Worksheet A4, Page 1, Line 14, Col. (d)</t>
  </si>
  <si>
    <t>Worksheet A4, Page 1, Line 14, Col. (e)</t>
  </si>
  <si>
    <t>Worksheet A4, Page 1, Line 14, Col. (f)</t>
  </si>
  <si>
    <t>Worksheet A4, Page 1, Line 28, Col. (d)</t>
  </si>
  <si>
    <t>Worksheet A4, Page 1, Line 28, Col. (e)</t>
  </si>
  <si>
    <t>Worksheet A4, Page 1, Line 28, Col. (f)</t>
  </si>
  <si>
    <t>Worksheet A4, Page 1, Line 28, Col. (g)</t>
  </si>
  <si>
    <t>Worksheet A4, Page 1, Line 28, Col. (h)</t>
  </si>
  <si>
    <t>Worksheet A4, Page 2, Line 14, Col. (d) (Note F)</t>
  </si>
  <si>
    <t>Worksheet A4, Page 2, Line 14, Col. (e) (Note F)</t>
  </si>
  <si>
    <t>Worksheet A4, Page 2, Line 14, Col. (f) (Note F)</t>
  </si>
  <si>
    <t>Worksheet A4, Page 2, Line 14, Col. (g) (Note F)</t>
  </si>
  <si>
    <t>Worksheet A4, Page 1, Line 14, Col. (h) (Note G)</t>
  </si>
  <si>
    <t>Page 1 of 1</t>
  </si>
  <si>
    <t>Cells highlighted in green signify that the data is sourced from other worksheets in the formula and that the reference is static.</t>
  </si>
  <si>
    <t>For FERC account no. 930.1, the Company reviews all entries and identifies those that are safety related advertising.</t>
  </si>
  <si>
    <t>Worksheet A2 Line 22</t>
  </si>
  <si>
    <t>LAND RIGHTS</t>
  </si>
  <si>
    <t xml:space="preserve">STRUCTURES AND IMPROVEMENTS         </t>
  </si>
  <si>
    <t xml:space="preserve">LAND IMPROVEMENTS         </t>
  </si>
  <si>
    <t xml:space="preserve">STATION EQUIPMENT                   </t>
  </si>
  <si>
    <t xml:space="preserve">TOWERS AND FIXTURES                 </t>
  </si>
  <si>
    <t xml:space="preserve">POLES AND FIXTURES                  </t>
  </si>
  <si>
    <t xml:space="preserve">OVERHEAD CONDUCTORS AND DEVICES     </t>
  </si>
  <si>
    <t>TOTAL TRANSMISSION PLANT</t>
  </si>
  <si>
    <t>Worksheet A7</t>
  </si>
  <si>
    <t>Incentive Plant Worksheet</t>
  </si>
  <si>
    <t>Project:</t>
  </si>
  <si>
    <t>n/a</t>
  </si>
  <si>
    <t>Deprec. Rate:</t>
  </si>
  <si>
    <t>ROE Adder</t>
  </si>
  <si>
    <t>Beginning Year:</t>
  </si>
  <si>
    <t>Beginning Amt</t>
  </si>
  <si>
    <t>Net Plant</t>
  </si>
  <si>
    <t>Incentive Projects</t>
  </si>
  <si>
    <t>Project 1</t>
  </si>
  <si>
    <t>Proj. ID</t>
  </si>
  <si>
    <t>Project 2</t>
  </si>
  <si>
    <t>Special depreciation rates may be utilized for specific incentive transmission projects if approved by the FERC.</t>
  </si>
  <si>
    <t>Incentive ROE requires authorization by the Commission</t>
  </si>
  <si>
    <t>(Note B)</t>
  </si>
  <si>
    <t xml:space="preserve">  Rate Base * Rate of Return plus Incentive Return</t>
  </si>
  <si>
    <t>Incentive Return</t>
  </si>
  <si>
    <t>(c )</t>
  </si>
  <si>
    <t>(d )</t>
  </si>
  <si>
    <t>(e )</t>
  </si>
  <si>
    <t>Worksheet A7, Column (e )</t>
  </si>
  <si>
    <t>Incentive Ret</t>
  </si>
  <si>
    <t xml:space="preserve">  Rate Base * Rate of Return + Incentive Return</t>
  </si>
  <si>
    <t>Projected Incentive Plant</t>
  </si>
  <si>
    <t>Projected Incentive Plant Worksheet</t>
  </si>
  <si>
    <t>Projected Divisor - Network Transmission Load</t>
  </si>
  <si>
    <t>Mon/Yr</t>
  </si>
  <si>
    <t>Weighted ROE Adder:</t>
  </si>
  <si>
    <t>Deprec. Rate/Month:</t>
  </si>
  <si>
    <t>(f )</t>
  </si>
  <si>
    <t>(g )</t>
  </si>
  <si>
    <t>(h )</t>
  </si>
  <si>
    <t>(i )</t>
  </si>
  <si>
    <t>(j )</t>
  </si>
  <si>
    <t>(k )</t>
  </si>
  <si>
    <t>(l )</t>
  </si>
  <si>
    <t>(m )</t>
  </si>
  <si>
    <t>Total Incentive Return</t>
  </si>
  <si>
    <t>Worksheet P4, Line 35, Column (e )</t>
  </si>
  <si>
    <t>A7-IncentPlant</t>
  </si>
  <si>
    <t>Actual Incentive Plant</t>
  </si>
  <si>
    <t>P4-IncentPlant</t>
  </si>
  <si>
    <t>Worksheet P4</t>
  </si>
  <si>
    <t>Total Projected Plant</t>
  </si>
  <si>
    <t>Less: Reliability, Planning &amp; Standards Development Services (Account 561.8)</t>
  </si>
  <si>
    <t>Less: Generation Interconnection Studies (Account 561.7)</t>
  </si>
  <si>
    <t>Less: Transmission Service Studies (Account 561.6)</t>
  </si>
  <si>
    <t>Less: Reliability, Planning and Standards Development (Account 561.5)</t>
  </si>
  <si>
    <t>Less:  Scheduling, System Control &amp; Dispatch Services (Account 561.4)</t>
  </si>
  <si>
    <t>Total Load Dispatch and Scheduling (Account 561)</t>
  </si>
  <si>
    <t>Schedule 1</t>
  </si>
  <si>
    <t>Ancillary Services, Schedule No. 1 - Scheduling System Control and Dispatch Service</t>
  </si>
  <si>
    <t>321.88.b</t>
  </si>
  <si>
    <t>321.89.b</t>
  </si>
  <si>
    <t>321.90.b</t>
  </si>
  <si>
    <t>321.91.b</t>
  </si>
  <si>
    <t>321.92.b</t>
  </si>
  <si>
    <t>201.3.x</t>
  </si>
  <si>
    <t>117, Column c, lines 62+63+64-65-66+67</t>
  </si>
  <si>
    <t xml:space="preserve">Calculate using 13 month average balance, reconciling to FERC Form No. 1 by Page, Line, and Column as shown in Worksheet A4 for inputs on page 2 of 5 above, except ADIT, page 2, lines 19-22, which is on Worksheet A3. </t>
  </si>
  <si>
    <t>ADJUSTMENTS TO RATE BASE (Note V)</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</si>
  <si>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16+ above.  The allocator in Col. (g) will be the same allocator used in the formula for the cost accruals to the account that is recovered under the Formula Rate.  Reserves can be created by capital contributions from customers, by debiting the reserve and crediting a liability, or a combination of customer capital contribution and offsetting liability.  Only the portion of a reserve that was created by customer contributions should be a reduction to rate base.   For reserves that be created partially through customer contributions and partially by an offsetting liability, enter in column (f) the percentage of the reserve that was contributed by customers.</t>
  </si>
  <si>
    <t>X</t>
  </si>
  <si>
    <t>Y</t>
  </si>
  <si>
    <t xml:space="preserve">GROSS PLANT ALLOCATOR  (GP) </t>
  </si>
  <si>
    <t xml:space="preserve">NET PLANT ALLOCATOR  (NP) </t>
  </si>
  <si>
    <t>Actual Attachment H, Page 2, Column 3 Line 1</t>
  </si>
  <si>
    <t>Actual Attachment H, Page 2, Column 3 Line 13</t>
  </si>
  <si>
    <t>Actual Attachment H, Page 2, Column 3 Line 15</t>
  </si>
  <si>
    <t>Actual Attachment H, Page 2, Column 3 Line 16</t>
  </si>
  <si>
    <t>Actual Attachment H, Page 2, Column 3 Line 17</t>
  </si>
  <si>
    <t>Actual Attachment H, Page 2, Column 3 Line 3</t>
  </si>
  <si>
    <t>Actual Attachment H, Page 2, Column 3 Line 4</t>
  </si>
  <si>
    <t>Actual Attachment H, Page 2, Column 3 Line 5</t>
  </si>
  <si>
    <t>Page 2, Column 3, Line 2</t>
  </si>
  <si>
    <t>Page 2, Column 3, Line 7</t>
  </si>
  <si>
    <t>June, Sep</t>
  </si>
  <si>
    <t>Sep</t>
  </si>
  <si>
    <t>The projected O&amp;M and plant balances are calculated on the P Tabs.  These sheets feed into the Projected Attachment H tab for determining the Projected Annual Transmission Revenue Requirement.  The CLFP tariff rates are calculated based on the CLFP Revenue Requirements and the specific point-to-point charges are shown on the same tab. The projected rates are posted to the customers for review in September of each year.</t>
  </si>
  <si>
    <t>7a</t>
  </si>
  <si>
    <t>Net Revenue Requirement without True Up Adjustment</t>
  </si>
  <si>
    <t>(line 7 minus line 6a)</t>
  </si>
  <si>
    <t>Average Balance</t>
  </si>
  <si>
    <t>Ref</t>
  </si>
  <si>
    <t>BOY Balance</t>
  </si>
  <si>
    <t>EOY Balance</t>
  </si>
  <si>
    <t>End of Year ("EOY") balance is  end of current year balance per FERC Form No. 1.</t>
  </si>
  <si>
    <t>Beginning of Year ("BOY") balance is end of previous year balance per FERC Form No. 1.</t>
  </si>
  <si>
    <t>274.2.b &amp; 275.2.k</t>
  </si>
  <si>
    <t>276.9.b &amp; 277.9.k</t>
  </si>
  <si>
    <t>234.8.b&amp;c</t>
  </si>
  <si>
    <t>272.2.b &amp; 273.2.k</t>
  </si>
  <si>
    <t>Worksheet A4, Page 1, Line 13, Column (e )</t>
  </si>
  <si>
    <t>Worksheet A4, Page 1, Line 27, Column (g )</t>
  </si>
  <si>
    <t xml:space="preserve">Worksheet A4, Page 1, Line 13, Col. (h) </t>
  </si>
  <si>
    <t>The Tax Effect of Permanent Differences captures the differences in the income taxes due under the Federal and State calculations and the income taxes calculated in Attachment H that are not the result of a timing difference.</t>
  </si>
  <si>
    <t>(line 13 - line 14)</t>
  </si>
  <si>
    <t>Interest on True-up Amount  ( [Average Interest Rate / 12 months]*24 months)</t>
  </si>
  <si>
    <t>Total 561 Costs for Schedule 1 Annual Rev Req</t>
  </si>
  <si>
    <t xml:space="preserve">     Less Account 561.1-561.3</t>
  </si>
  <si>
    <t>321.85-87.b</t>
  </si>
  <si>
    <t>Revenue Requirement</t>
  </si>
  <si>
    <t>12 months/year</t>
  </si>
  <si>
    <t>52 weeks/year</t>
  </si>
  <si>
    <t>Net Schedule 1 Annual Rev Req</t>
  </si>
  <si>
    <t>Actual Revenue Requirement</t>
  </si>
  <si>
    <t xml:space="preserve">Interest Rate on True-up Amount </t>
  </si>
  <si>
    <t>Interest on True-up Amount</t>
  </si>
  <si>
    <t>Line 8</t>
  </si>
  <si>
    <t>Less:  Schedule 1 Point to Point Revenues</t>
  </si>
  <si>
    <t>True Up Adjustment</t>
  </si>
  <si>
    <t>Actual Schedule 1 Annual Rev Req (before True Up)</t>
  </si>
  <si>
    <t>Line 15 - Line 16</t>
  </si>
  <si>
    <t>Line 17 + Line 19</t>
  </si>
  <si>
    <t xml:space="preserve">Enter 1 if NOT in a trust or reserved account, enter zero (0) if included in a trust or reserved account </t>
  </si>
  <si>
    <t>Enter 1 if the accrual account is included in the formula rate, enter zero (0) if the accrual account is NOT included in the formula rate</t>
  </si>
  <si>
    <r>
      <t>Column b</t>
    </r>
    <r>
      <rPr>
        <sz val="10"/>
        <rFont val="Times New Roman"/>
        <family val="1"/>
      </rPr>
      <t xml:space="preserve"> is the monthly transmission network load for September, October, November and December as a percentage of the average of the monthly transmission network load values for January through August, based on monthly load values in Worksheet A6.</t>
    </r>
  </si>
  <si>
    <r>
      <t>Column c</t>
    </r>
    <r>
      <rPr>
        <sz val="10"/>
        <rFont val="Times New Roman"/>
        <family val="1"/>
      </rPr>
      <t xml:space="preserve"> is average (January thru August) of monthly transmission network load in column e.</t>
    </r>
  </si>
  <si>
    <r>
      <t xml:space="preserve">Column f </t>
    </r>
    <r>
      <rPr>
        <sz val="10"/>
        <rFont val="Times New Roman"/>
        <family val="1"/>
      </rPr>
      <t>contains actual load values for January-August and projected load values for September - December.</t>
    </r>
  </si>
  <si>
    <t>ACCOUNT 456.1 (OTHER ELECTRIC REVENUES) (Note B)</t>
  </si>
  <si>
    <t>PTP Revenue credits from Line 42, Column (b) populate Actual Attachment H, page 1, line 3; Schedule 1 Revenue credits populate Schedule 1, page 1, line 10.</t>
  </si>
  <si>
    <t>Worksheet A1, Line 42, Col (d)</t>
  </si>
  <si>
    <t>(Worksheet A1, line 42, col (b) )</t>
  </si>
  <si>
    <t>Rev Req Comparison</t>
  </si>
  <si>
    <t>Volume Comparison</t>
  </si>
  <si>
    <t>Volume Revenue Adjustment</t>
  </si>
  <si>
    <t>kW</t>
  </si>
  <si>
    <t>Divisor for Actual Rate Year from Step 7</t>
  </si>
  <si>
    <t>(line 14 / line 18)</t>
  </si>
  <si>
    <t>$/kW</t>
  </si>
  <si>
    <t>(Lines 29-32 / 4)</t>
  </si>
  <si>
    <t>(line 1 minus line 6)</t>
  </si>
  <si>
    <t>(Worksheet TU, Line 34)</t>
  </si>
  <si>
    <t>(line 18 - line 17)</t>
  </si>
  <si>
    <t>Originally Projected Revenue Requirements from Step 1 (Note E)</t>
  </si>
  <si>
    <t>Divisor for Originally Projected Rate Year from Step 1</t>
  </si>
  <si>
    <t>Originally Projected Rev Req Rate</t>
  </si>
  <si>
    <t>Limited to Transmission-related regulatory expenses itemized from total amounts on FERC Form No. 1 page 351.</t>
  </si>
  <si>
    <t>Reserved for use in the event of transmission rate filings</t>
  </si>
  <si>
    <t>Company Records (Note C)</t>
  </si>
  <si>
    <t>Originally Projected Revenue Requirement without True Up Adjustment</t>
  </si>
  <si>
    <t>Line 12 + Line 20 (Note A)</t>
  </si>
  <si>
    <t>Previous Filing (Note B)</t>
  </si>
  <si>
    <t>Net Schedule 1 Annual Revenue Requirement projection is set to Actual amount from previous year plus Sch 1 True Up Adjustment</t>
  </si>
  <si>
    <t>Explanatory comment(s) for Originally Projected Sch 1 Rev Req without True Up Adjustment from Previous Filing:</t>
  </si>
  <si>
    <t>24aa</t>
  </si>
  <si>
    <t>(line 19 x line 21)</t>
  </si>
  <si>
    <t>(line 25 / line 26 * line 27 / 2)</t>
  </si>
  <si>
    <t>Rate Year =</t>
  </si>
  <si>
    <t>Account 190</t>
  </si>
  <si>
    <t>Days in Period</t>
  </si>
  <si>
    <t>Averaging with Proration - Projected</t>
  </si>
  <si>
    <t>Days in the Month</t>
  </si>
  <si>
    <t>Number of Days Prorated</t>
  </si>
  <si>
    <t>Total Days in Future Portion of Test Period</t>
  </si>
  <si>
    <t>Proration Amount (C / D)</t>
  </si>
  <si>
    <t>Projected Monthly Activity</t>
  </si>
  <si>
    <t>Prorated Projected Monthly Activity (E x F)</t>
  </si>
  <si>
    <t>Prorated Projected Balance (Cumulative Sum of G)</t>
  </si>
  <si>
    <t>December 31st balance Prorated Items</t>
  </si>
  <si>
    <t>Beginning Balance</t>
  </si>
  <si>
    <t>234.8.b</t>
  </si>
  <si>
    <t>Less non Prorated Items</t>
  </si>
  <si>
    <t>Beginning Balance of Prorated items</t>
  </si>
  <si>
    <t>Ending Balance</t>
  </si>
  <si>
    <t>Ending Balance of Prorated items</t>
  </si>
  <si>
    <t>Account 282</t>
  </si>
  <si>
    <t>Account 283</t>
  </si>
  <si>
    <t>Less FASB 106 and 109 Items</t>
  </si>
  <si>
    <t>Account 281</t>
  </si>
  <si>
    <t>272.b</t>
  </si>
  <si>
    <t>273.k</t>
  </si>
  <si>
    <t>276.b</t>
  </si>
  <si>
    <t>277.k</t>
  </si>
  <si>
    <t>Worksheet P5</t>
  </si>
  <si>
    <t>Worksheet A3, Note C</t>
  </si>
  <si>
    <t>Page 1 of 4</t>
  </si>
  <si>
    <t>Page 4 of 4</t>
  </si>
  <si>
    <t>Amount for Attachment H</t>
  </si>
  <si>
    <t>Difference</t>
  </si>
  <si>
    <t>Tax Rate</t>
  </si>
  <si>
    <t>ADIT</t>
  </si>
  <si>
    <t>Rate</t>
  </si>
  <si>
    <t>Tax  Depreciation</t>
  </si>
  <si>
    <t>.</t>
  </si>
  <si>
    <t>Book</t>
  </si>
  <si>
    <t>Timing</t>
  </si>
  <si>
    <t>P5-ADIT</t>
  </si>
  <si>
    <t>Projected Accumulated Deferred Income Tax data</t>
  </si>
  <si>
    <t>Additions</t>
  </si>
  <si>
    <t>Incremental</t>
  </si>
  <si>
    <t>Tax Deprec</t>
  </si>
  <si>
    <t>#</t>
  </si>
  <si>
    <t>g</t>
  </si>
  <si>
    <t>h</t>
  </si>
  <si>
    <t>i</t>
  </si>
  <si>
    <t>j</t>
  </si>
  <si>
    <t>k</t>
  </si>
  <si>
    <t>l</t>
  </si>
  <si>
    <t>m</t>
  </si>
  <si>
    <t>n</t>
  </si>
  <si>
    <t>o</t>
  </si>
  <si>
    <t>p</t>
  </si>
  <si>
    <t>q</t>
  </si>
  <si>
    <t>r</t>
  </si>
  <si>
    <t>s</t>
  </si>
  <si>
    <t>t</t>
  </si>
  <si>
    <t>u</t>
  </si>
  <si>
    <t>27a</t>
  </si>
  <si>
    <t>/MW-hour</t>
  </si>
  <si>
    <t>Depreciation on Additions</t>
  </si>
  <si>
    <t xml:space="preserve"> Tax Depreciation on Plant</t>
  </si>
  <si>
    <t>December 31st balance Prorated Items From Latest FF1</t>
  </si>
  <si>
    <t>Allocated December 31st Balance Transmission Items</t>
  </si>
  <si>
    <t>Activity for Year prior to Rate Year</t>
  </si>
  <si>
    <t>Prorated Balance of Rate Year</t>
  </si>
  <si>
    <t>(Line 77 + Line 78)</t>
  </si>
  <si>
    <t>(Line 75 + Line 76)</t>
  </si>
  <si>
    <t>(Line 73 * Line 74)</t>
  </si>
  <si>
    <t>Worksheet A3, Column d, Line 3</t>
  </si>
  <si>
    <t>Act Att-H, page 1 line 2</t>
  </si>
  <si>
    <t>Act Att-H, page 1 line 3</t>
  </si>
  <si>
    <t>Worksheet P3, Line 15</t>
  </si>
  <si>
    <t>Worksheet TU, line 37</t>
  </si>
  <si>
    <t>(Sum of Lines 27-29)</t>
  </si>
  <si>
    <t>(Line 79 - Line 80)</t>
  </si>
  <si>
    <t>Rate Year -1</t>
  </si>
  <si>
    <t>Rate Year</t>
  </si>
  <si>
    <t>Balances as of Ending Rate Year -2</t>
  </si>
  <si>
    <t>Worksheet A2 Line 14</t>
  </si>
  <si>
    <t>356</t>
  </si>
  <si>
    <t>FERC annual charges - transmission only</t>
  </si>
  <si>
    <t>Company Records</t>
  </si>
  <si>
    <t xml:space="preserve">  Unfunded Reserves</t>
  </si>
  <si>
    <r>
      <t>Removes dollar amount of transmission expenses included in the OATT ancillary services rates, including Account Nos. 561.1, 561.2,</t>
    </r>
    <r>
      <rPr>
        <b/>
        <sz val="10"/>
        <rFont val="Times New Roman"/>
        <family val="1"/>
      </rPr>
      <t xml:space="preserve"> </t>
    </r>
    <r>
      <rPr>
        <sz val="10"/>
        <rFont val="Times New Roman"/>
        <family val="1"/>
      </rPr>
      <t xml:space="preserve"> and 561.3.</t>
    </r>
  </si>
  <si>
    <t xml:space="preserve">The balances in Accounts 190, 281, 282 and 283, "are adjusted on Line 24 by the amounts in contra accounts identified as regulatory assets or liabilities related to FASB 106 or 109.  Balance of Account 255 is reduced by prior flow throughs and excluded if the utility chose to utilize amortization of tax credits against taxable income.   </t>
  </si>
  <si>
    <t>Amounts included here are those recorded in Account 105, and limited to transmission-related land.</t>
  </si>
  <si>
    <t>Cash Working Capital assigned to transmission is one-eighth of O&amp;M allocated to transmission at Page 3, Line 8, Column 5.    Prepayments are the electric related prepayments booked to Account No. 165; the total is reported on Page 111 Line 57 in the Form 1.</t>
  </si>
  <si>
    <t xml:space="preserve">EPRI Annual Membership Dues listed in Form 1 at 335.1.b, all Regulatory Commission Expenses itemized at 351.h, and non-safety-related advertising included in Account 930.1.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</si>
  <si>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</si>
  <si>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The revenues credited do not include gross receipts taxes, ancillary service revenues, or revenues associated with facilities the costs of which are not recovered under this Rate Formula Template (e.g., direct assignment facilities and GSUs).</t>
  </si>
  <si>
    <t>Includes the amortization of any excess/deficient deferred income taxes resulting from changes to income tax laws, income tax rates (including changes in apportionment) and other actions taken by a taxing authority.  The amortization of excess or deficient deferred income taxes will, respectively, reduce or increase tax expense by the amortization amount multiplied by (1/(1-T)).</t>
  </si>
  <si>
    <t>Includes the annual income tax cost or benefits due to permanent differences or differences between the amount of expenses or revenues recognized in one period for ratemaking purposes and the amounts recognized for income tax purposes which do not reverse in one or more other periods, including the cost of income taxes on the Allowance for Other Funds Used During Construction.  T multiplied by the amount of permanent differences and depreciation expense associated with Allowance for Other Funds Used During Construction will increase or decrease tax expense by the amount of the expense or benefit included on line 24b multiplied by (1/(1-T)).</t>
  </si>
  <si>
    <t xml:space="preserve">  Cash Working Capital</t>
  </si>
  <si>
    <t xml:space="preserve">     Plus: PBOP Actual Cash Outlay</t>
  </si>
  <si>
    <t xml:space="preserve">     Less: PBOP Net Periodic Expense</t>
  </si>
  <si>
    <t>For FERC account nos. 920 and 926, the Company reviews all entries and identifies the PBOP Net Periodic expenses to be removed from A&amp;G.</t>
  </si>
  <si>
    <t>Worksheet A4, Page 2, Line 22, Col. (h)  (Note R)</t>
  </si>
  <si>
    <t xml:space="preserve">Unfunded Reserves are customer contributed capital such as when employee vacation expense is accrued but not yet incurred.  </t>
  </si>
  <si>
    <t xml:space="preserve">Gross Plant In Service </t>
  </si>
  <si>
    <t xml:space="preserve">Accumulated Depreciation </t>
  </si>
  <si>
    <t>Adjustments to Rate Base</t>
  </si>
  <si>
    <t xml:space="preserve">Recovery of any project-specific regulatory assets requires authorization from the Commission.  </t>
  </si>
  <si>
    <t xml:space="preserve">Includes only CWIP authorized by the Commission for inclusion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reconcile the project-specific CWIP balances to the total Account 107 CWIP balance reported on p. 216.b of the FERC Form 1.   The demonstration in (iii) above will show that monthly debits and credits do not contain entries for AFUDC for each CWIP project in ratebase. </t>
  </si>
  <si>
    <t>Transmission System Peak Load (kW) (Note A)</t>
  </si>
  <si>
    <t>Source: Form 1 page 400.1-15.b</t>
  </si>
  <si>
    <t>Percentage of Avg. Jan -Aug Load (Note B)</t>
  </si>
  <si>
    <t xml:space="preserve">Carried forward for use in Worksheet P3, Column b. </t>
  </si>
  <si>
    <t>Amortized Investment Tax Credit (266.8f)</t>
  </si>
  <si>
    <t>(Sum of Lines 25 and 26b less lines 26, 26a )</t>
  </si>
  <si>
    <t xml:space="preserve">     CIT=(T/(1-T)) * (1-(WCLTD/R)) =</t>
  </si>
  <si>
    <t>Line 17 * Line 18 * 24 / 12</t>
  </si>
  <si>
    <t>Note C</t>
  </si>
  <si>
    <t>(Line 21 times Line 24aa) (Notes T, Y)</t>
  </si>
  <si>
    <t>(Line 5) Weighted ROE Adder times (Line 34) 13 Month Average Net Plant</t>
  </si>
  <si>
    <t xml:space="preserve">112.12.c  </t>
  </si>
  <si>
    <t>Less Account 219</t>
  </si>
  <si>
    <t xml:space="preserve">112.15.c  </t>
  </si>
  <si>
    <t>(Line 23 less lines 24, 25, 26)</t>
  </si>
  <si>
    <t>Line 27</t>
  </si>
  <si>
    <t>(Sum of Lines 28-30)</t>
  </si>
  <si>
    <t>Use the lower of Short Term Interest Rate and FERC Interest Rate if the True-up Amount is greater than or equal to zero. Use FERC Interest Rate if the True-up Amount is less than zero.</t>
  </si>
  <si>
    <t>Difference in Volume</t>
  </si>
  <si>
    <t>True-up Amount including Volume Revenue Adjustment (before interest)</t>
  </si>
  <si>
    <t>Amount from Line 24</t>
  </si>
  <si>
    <t>Total True-up Adjustment</t>
  </si>
  <si>
    <t>GROSS REVENUE REQUIREMENT  (page 3, line 29)</t>
  </si>
  <si>
    <t>Actual Attachment H, Page 4, Line 26</t>
  </si>
  <si>
    <t>(Line 23 less Lines 24, 25, 26)</t>
  </si>
  <si>
    <r>
      <t xml:space="preserve">Column e </t>
    </r>
    <r>
      <rPr>
        <sz val="10"/>
        <rFont val="Times New Roman"/>
        <family val="1"/>
      </rPr>
      <t>contains actual load values from current year FERC Form 3Q page 400.1-10.b.</t>
    </r>
  </si>
  <si>
    <t>Page 3 of 3</t>
  </si>
  <si>
    <t>Materials &amp; Supplies</t>
  </si>
  <si>
    <t>Avg of 13 Month Balances - Allocated</t>
  </si>
  <si>
    <t xml:space="preserve">  Materials &amp; Supplies: Transmission Plant</t>
  </si>
  <si>
    <t xml:space="preserve">  Materials &amp; Supplies: Stores Expense Undistributed</t>
  </si>
  <si>
    <t xml:space="preserve">  Materials &amp; Supplies: Construction</t>
  </si>
  <si>
    <t>227.8.c</t>
  </si>
  <si>
    <t>227.16.c</t>
  </si>
  <si>
    <t>227.5.c</t>
  </si>
  <si>
    <t>Total (Note E)</t>
  </si>
  <si>
    <t>Deferred Tax Items</t>
  </si>
  <si>
    <t>Page 1 of 3</t>
  </si>
  <si>
    <t>Page 2 of 3</t>
  </si>
  <si>
    <t>Prepayments</t>
  </si>
  <si>
    <t>reserved</t>
  </si>
  <si>
    <t xml:space="preserve">Worksheet A4, Page 3, Line 17, Col. (e ) </t>
  </si>
  <si>
    <t>Note H</t>
  </si>
  <si>
    <t>Page 1 of 5</t>
  </si>
  <si>
    <t>Page 2 of 5</t>
  </si>
  <si>
    <t>Page 3 of 5</t>
  </si>
  <si>
    <t>Page 4 of 5</t>
  </si>
  <si>
    <t>Page 5 of 5</t>
  </si>
  <si>
    <t>Account 254</t>
  </si>
  <si>
    <t>Beginning Balance of Rate Year -1</t>
  </si>
  <si>
    <t xml:space="preserve">Company Records </t>
  </si>
  <si>
    <t>Ending Balance of Rate Year -1</t>
  </si>
  <si>
    <t>Line 119 + Line 120</t>
  </si>
  <si>
    <t xml:space="preserve">Beginning Balance of Rate Year </t>
  </si>
  <si>
    <t>Line 121</t>
  </si>
  <si>
    <t>Line 122 + Line 123</t>
  </si>
  <si>
    <t>Line 124 - Line 125</t>
  </si>
  <si>
    <t xml:space="preserve">  Account No. 255 (enter Zero)</t>
  </si>
  <si>
    <t>FAS 109 Adjustment to ADIT</t>
  </si>
  <si>
    <t xml:space="preserve">  Account No. 255 (enter zero)</t>
  </si>
  <si>
    <t>Amount for Attachment H before Allocation</t>
  </si>
  <si>
    <t>Worksheet P5, Page 5, Line 128, Column H</t>
  </si>
  <si>
    <t>232.1.b &amp; 232.1.f</t>
  </si>
  <si>
    <t>278.1.b &amp; 278.1.f</t>
  </si>
  <si>
    <t>278.3.b &amp; 278.3.f</t>
  </si>
  <si>
    <t>Federal Income Tax Rate</t>
  </si>
  <si>
    <t>2017 Net Plant Allocator</t>
  </si>
  <si>
    <t>2017 Net Plant Allocation Factor</t>
  </si>
  <si>
    <t>(Line 117, Col G)</t>
  </si>
  <si>
    <t>Actual Attachment H, Page 3, Line 24a</t>
  </si>
  <si>
    <t>Line 19 + Line 20</t>
  </si>
  <si>
    <t>(Line 17, Col G)</t>
  </si>
  <si>
    <t>Total Account 190 Beginning Balance</t>
  </si>
  <si>
    <t>(Line 166 * -.21%)</t>
  </si>
  <si>
    <t>(Line 19 - Line 20)</t>
  </si>
  <si>
    <t>(Line 20)</t>
  </si>
  <si>
    <t>Worksheet P5, Page 1, Line 21, Column H</t>
  </si>
  <si>
    <t>Worksheet P5, Page 1, Line 28, Column H</t>
  </si>
  <si>
    <t>14a</t>
  </si>
  <si>
    <t xml:space="preserve"> Account No. 190 for Tax Gross Up Offset on Excess Deferred Income Taxes</t>
  </si>
  <si>
    <t>FAS 109 Adjustment to ADIT for Attachment H</t>
  </si>
  <si>
    <t>FAS 109 AFUDC Equity in Plant</t>
  </si>
  <si>
    <t>Actual Attachment H, Page 3, Line 24aa</t>
  </si>
  <si>
    <t xml:space="preserve">The Company has elected and applied the second option for accounting for investment tax credits (“ITC”) under Internal Revenue Code 46(f) and the regulations thereunder to apply a cost of service adjustment to reduce tax expense no more rapidly than ratably.    Under option 2, there is no rate base reduction for the unamortized balance of the ITC.  </t>
  </si>
  <si>
    <t>Note B</t>
  </si>
  <si>
    <t>Worksheet A3, Page 1, Line 14</t>
  </si>
  <si>
    <t>Worksheet A4, Page 2, Line 14, Col. (b) (Notes P,Z)</t>
  </si>
  <si>
    <t>Worksheet A4, Page 2, Line 14, Col. (c) (Notes U, N and Z)</t>
  </si>
  <si>
    <t>Z</t>
  </si>
  <si>
    <t>The allocator used will be in accordance with the FERC order authorizing the inclusion of these items in the formula rate.</t>
  </si>
  <si>
    <t>(Note D)</t>
  </si>
  <si>
    <t>Worksheet P5, Page 2, Line 55, Column H</t>
  </si>
  <si>
    <t>Worksheet P5, Page 3, Line 82, Column H</t>
  </si>
  <si>
    <t>Worksheet P5, Page 4, Line 109, Column H</t>
  </si>
  <si>
    <t>Prior Period Adjustment</t>
  </si>
  <si>
    <t>(line 15+22+23a)</t>
  </si>
  <si>
    <t>Prior Period Adjustment (Note F)</t>
  </si>
  <si>
    <t>Worksheet A8</t>
  </si>
  <si>
    <t>Worksheet A9</t>
  </si>
  <si>
    <t>Permanent Differences</t>
  </si>
  <si>
    <t>A9-PermDiffs</t>
  </si>
  <si>
    <t>A8-Prepmts</t>
  </si>
  <si>
    <t>Annual Cost</t>
  </si>
  <si>
    <t>Allocation Factor</t>
  </si>
  <si>
    <t>Allocated Amount</t>
  </si>
  <si>
    <t>WECC Dues</t>
  </si>
  <si>
    <t>Auto Policy 17/18</t>
  </si>
  <si>
    <t>Terrorism</t>
  </si>
  <si>
    <t>Terrorism-CPGS</t>
  </si>
  <si>
    <t>Property Insurance-CPGS</t>
  </si>
  <si>
    <t>Property Insurance</t>
  </si>
  <si>
    <t>EAM Enterpise Storage</t>
  </si>
  <si>
    <t>Prepaid Coal</t>
  </si>
  <si>
    <t>Insurance Auto policy</t>
  </si>
  <si>
    <t>Insurance Terrorism Policy - General</t>
  </si>
  <si>
    <t>Insurance Terrorism Policy - Specific Asset</t>
  </si>
  <si>
    <t>Property Insurance Policy - Specific Asset</t>
  </si>
  <si>
    <t>Property Insurance Policy - General</t>
  </si>
  <si>
    <t>Data Storage - General</t>
  </si>
  <si>
    <t>Timing of Coal payments vs. received according to contract</t>
  </si>
  <si>
    <t>To Actual Attachment H, page 2, line 30</t>
  </si>
  <si>
    <t>Club Dues-Electric</t>
  </si>
  <si>
    <t>Lobbying-Electric</t>
  </si>
  <si>
    <t>Meals and Entertainment-Electric</t>
  </si>
  <si>
    <t>Penalties-Electric</t>
  </si>
  <si>
    <t>Equity AFUDC Perm-Electric</t>
  </si>
  <si>
    <t>Total Regulatory Liability - EDFIT - Tax Reform Act of 1986</t>
  </si>
  <si>
    <t>NP2017</t>
  </si>
  <si>
    <t>Reg Liability FAS 109 ITC (enter negative)</t>
  </si>
  <si>
    <t>Reg Liability Retiree HC (enter negative)</t>
  </si>
  <si>
    <t>(Sum of Lines 19 - 25)</t>
  </si>
  <si>
    <t>(Sum of Lines 11 - 21)</t>
  </si>
  <si>
    <t>Allocator (Note C)</t>
  </si>
  <si>
    <t>Pension Equity Plan Life Insurance - Electric</t>
  </si>
  <si>
    <t>Unamortized Abandoned Plant and Amortization of Abandoned Plant will be zero until the Commission accepts or approves recovery of the cost of each abandoned plant and its applicable allocation factor.  Utility must submit a Section 205 filing to recover the cost of each abandoned plant.</t>
  </si>
  <si>
    <t>Prepaid Item (Note B)</t>
  </si>
  <si>
    <t>True-up Amount (before Volume Revenue Adjustment &amp; interest)</t>
  </si>
  <si>
    <t>Transmission Plant (Note A)</t>
  </si>
  <si>
    <t>4a</t>
  </si>
  <si>
    <t>4b</t>
  </si>
  <si>
    <t>Cheyenne Light may add other Acct 254 items on line 23 and apply an appropriate allocator based on the nature of the item.</t>
  </si>
  <si>
    <t xml:space="preserve">Prior Period Adjustment, if any, is calculated to the same timing basis as balance of true up (i.e. before interest applied on lines 15 and 22).  Work-papers for the Prior Period Adjustment calculation will be included in supporting documentation.  Cheyenne Light will only use the Prior Period Adjustment in the following circumstances and only if the error discovered would have impacted Cheyenne Light’s calculation of the True-Up Amount in a prior Rate Year: (1) Cheyenne Light discovers a error in a previously filed FERC Form 1 (filed outside the current Rate Year), (2) discovers an error in books and records actually used to populate an input in the formula rate and the discovery is outside the current Rate Year, or (3) Cheyenne Light is required by applicable law, a court or regulatory body to correct an error outside the current Rate Year.  If an error falls within one of these three categories and negatively impacted customers in Cheyenne Light’s calculation of a prior Rate Year’s True-Up Amount, Cheyenne Light will re-calculate the True-Up Amount for affected years.  </t>
  </si>
  <si>
    <t>Accumulated Depreciation</t>
  </si>
  <si>
    <t>Recovery of any regulatory assets and the respective allocators requires authorization from the Commission.</t>
  </si>
  <si>
    <t>(Page 2, Line 32 x Page 4, Line 31, Col. (5)) + Page 4, Line 32</t>
  </si>
  <si>
    <t>The effect of the FAS 109 Adjustment to ADIT is to remove deferred taxes included in accounts 190 and 283 that are non-ratemaking in nature.</t>
  </si>
  <si>
    <t>FAS 109 (Note E)</t>
  </si>
  <si>
    <t>Amount 
(Enter the negative of amount reflected in the Cheyenne Light Form 1)</t>
  </si>
  <si>
    <t xml:space="preserve">Worksheet A3, Line 24, Col. (h) </t>
  </si>
  <si>
    <t xml:space="preserve">Worksheet A8, Page 1, Line 26 , Col. (f) </t>
  </si>
  <si>
    <t>Allocation Factor "GP"</t>
  </si>
  <si>
    <t xml:space="preserve">  Account No. 281 </t>
  </si>
  <si>
    <t xml:space="preserve">  Account No. 283 </t>
  </si>
  <si>
    <t xml:space="preserve">  Account No. 282</t>
  </si>
  <si>
    <t>Lobbying Expense</t>
  </si>
  <si>
    <t>Penalties</t>
  </si>
  <si>
    <t>Worksheet A4, Page 2, Line 14, Column (b ) (Note B)</t>
  </si>
  <si>
    <t>Worksheet A4, Page 2, Line 14, Column (c ) (Note B)</t>
  </si>
  <si>
    <t xml:space="preserve">  Account No. 282 (Transmission only)</t>
  </si>
  <si>
    <t xml:space="preserve">  Account No. 283</t>
  </si>
  <si>
    <t xml:space="preserve">The 2017 Net Plant allocator must remain fixed and will not be updated each year.  Cheyenne Light’s intent is to maintain the same functional breakdown of the Excess Deferred Income Tax flow-back amounts that are to be established initially in Docket Nos. ER19-697-000 and EL19-41-000. </t>
  </si>
  <si>
    <t>13 Month Average Balance
(Note C)</t>
  </si>
  <si>
    <t>Beginning Balance (Enter Negative)</t>
  </si>
  <si>
    <t>(Except ADIT which is average of Beg. &amp; End Balances)</t>
  </si>
  <si>
    <t>Transmission Depreciation rates and ROE are fixed amounts that can be changed only through a Section 205 filing.  The revenue requirement includes the PBOP actual cash outlay (defined as actual benefit payments for the year net of participant contributions plus administrative expenses) and excludes the accrued amount.</t>
  </si>
  <si>
    <t>Allocator Value (Note J)</t>
  </si>
  <si>
    <t>Amount of Excess Deferred Income Tax Amortization for Attachment H</t>
  </si>
  <si>
    <t>Amount of Excess Deferred Income Tax Amortization Total Company (Note I)</t>
  </si>
  <si>
    <t>Total from A4-Rate Base</t>
  </si>
  <si>
    <t>Variance</t>
  </si>
  <si>
    <t>The total of the 13 month average of the individual items will match the 13 month average calculated on A4-Rate Base, page 2 line 14 column (h).  The variance between A8 and A4 will be $0.</t>
  </si>
  <si>
    <t>Note A</t>
  </si>
  <si>
    <t>(Sum of Lines 1-3, 4a, 4b) less Line 4)</t>
  </si>
  <si>
    <t xml:space="preserve">Less Safety Related Advertising </t>
  </si>
  <si>
    <t>PBOP Net Periodic expense</t>
  </si>
  <si>
    <t>The amount is the the net periodic expense and not the actual cash outlay.</t>
  </si>
  <si>
    <t>Worksheet A4, Page 1, Line 14, Col. (g)   (Notes Q, Z)</t>
  </si>
  <si>
    <t>Materials &amp; Supplies are split into three line items to be allocated: Transmission Plant (TP) for M&amp;S directly associated with Transmission; Wages and Salaries (WS) for Undistributed M&amp;S or not associated with Transmission or Construction; and Not Applicable (NA) for M&amp;S associated with Construction.</t>
  </si>
  <si>
    <t>AA</t>
  </si>
  <si>
    <t xml:space="preserve">  Other (Note AA)</t>
  </si>
  <si>
    <t>Reliability Dues</t>
  </si>
  <si>
    <t>Workers Compensation</t>
  </si>
  <si>
    <t xml:space="preserve"> Reliability Dues</t>
  </si>
  <si>
    <t>Workers Compensation policy</t>
  </si>
  <si>
    <t>(Page 2, Line 27 x Page 4, Line 31, Col. (5)) + Page 4, Line 32</t>
  </si>
  <si>
    <t xml:space="preserve">Includes only FICA, unemployment, highway, property, and other assessments charged in the current year.  Taxes related to income are excluded.  Gross receipts taxes are not included in transmission revenue requirement in the Rate Formula Template. </t>
  </si>
  <si>
    <t>Applies only to projects authorized by the Commission.  The source of the information is the Company Records.</t>
  </si>
  <si>
    <t>The source of the information is the Company Records.</t>
  </si>
  <si>
    <t>Actual Attachment H, Page 3, Line 11a (Note B)</t>
  </si>
  <si>
    <t>Account No. 165
Prepayments</t>
  </si>
  <si>
    <t>Intentionally left blank</t>
  </si>
  <si>
    <t>Balances are from Worksheet A3-ADIT.</t>
  </si>
  <si>
    <t>Note D</t>
  </si>
  <si>
    <t>The Accumulated Depreciation for Year 1 will reflect the prorated amount of depreciation for the months that the project is in service.</t>
  </si>
  <si>
    <t>Incentive Ret
(Net Plant * Weighted ROE Adder)</t>
  </si>
  <si>
    <t>The Balance reflecting any amortization for the year is calculated using the proration method shown on Worksheet P5-ADIT Lines 110 - 128.</t>
  </si>
  <si>
    <t>Page 2 Line 23b includes any unamortized balances related to the recovery of abandoned plant costs approved by FERC under a separate docket.  Page 3, Line 11a ncludes the Amortization expense of Commission-approved abandonment costs.  The details of the amounts are shown in the workpapers required pursuant to the Projected Net Revenue Requirement and Annual True-up Procedures.</t>
  </si>
  <si>
    <t>(Sum of Lines 19-20)</t>
  </si>
  <si>
    <t>Worksheet A4, Page 3, Line 23, Col. (f) (Note X)</t>
  </si>
  <si>
    <t>201.8.e,f,g,h (Note L)</t>
  </si>
  <si>
    <t>201.14.e,f,g,h (Note L)</t>
  </si>
  <si>
    <t xml:space="preserve">STRUCTURES AND IMPROVEMENTS             </t>
  </si>
  <si>
    <t xml:space="preserve">OFFICE FURNITURE AND EQUIPMENT          </t>
  </si>
  <si>
    <t xml:space="preserve">COMPUTER HARDWARE                       </t>
  </si>
  <si>
    <t xml:space="preserve">COMPUTER SOFTWARE                       </t>
  </si>
  <si>
    <t>TRANSPORTATION EQUIPMENT</t>
  </si>
  <si>
    <t xml:space="preserve">STORES EQUIPMENT               </t>
  </si>
  <si>
    <t>TOOLS, SHOP AND GARAGE EQUIPMENT</t>
  </si>
  <si>
    <t xml:space="preserve">LABORATORY EQUIPMENT           </t>
  </si>
  <si>
    <t xml:space="preserve">    TOTAL GENERAL PLANT </t>
  </si>
  <si>
    <t>Intangible Plant</t>
  </si>
  <si>
    <t>INTANGIBLES MISCELLANEOUS</t>
  </si>
  <si>
    <t>ORGANIZATION</t>
  </si>
  <si>
    <t>FRANCHISES AND CONSENTS</t>
  </si>
  <si>
    <t>TOTAL INTANGIBLE PLANT</t>
  </si>
  <si>
    <t xml:space="preserve">  TOTAL COMMUNICATION EQUIPMENT</t>
  </si>
  <si>
    <t xml:space="preserve">  TOTAL COMMUNICATION EQUIPMENT -TOWERS</t>
  </si>
  <si>
    <t>General Plant - Electric</t>
  </si>
  <si>
    <t>General Plant - Common</t>
  </si>
  <si>
    <t>MISCELLANEOUS EQUIPMENT</t>
  </si>
  <si>
    <t>TOTAL COMMUNICATION EQUIPMENT</t>
  </si>
  <si>
    <t>TOTAL POWER OPERATED EQUIPMENT</t>
  </si>
  <si>
    <t xml:space="preserve">TOTAL COMMUNICATION EQUIPMENT        </t>
  </si>
  <si>
    <t>Transportation/Parking</t>
  </si>
  <si>
    <t>Non Deductible Compensation</t>
  </si>
  <si>
    <t>Non Deductible Insurance</t>
  </si>
  <si>
    <t>Average Rate Assumption Method</t>
  </si>
  <si>
    <t>Reverse South Georgia</t>
  </si>
  <si>
    <t>5 years Straight Line</t>
  </si>
  <si>
    <t>Amortization Method</t>
  </si>
  <si>
    <t>Worksheet A9, Line 10, Col (e )  (Notes T, Y)</t>
  </si>
  <si>
    <t xml:space="preserve">Common plant includes Plant that is owned by Black Hills Service Company that is allocated to Cheyenne Light based on Black Hills Service Company's Cost Allocation Manual.  </t>
  </si>
  <si>
    <t>Black Hills Service Company Plant</t>
  </si>
  <si>
    <t>If Cheyenne Light includes a new prepayment and allocator on one of the reserved lines that are data enterable fields, it will provide a description of its justification for inclusion of the prepayment and choice of allocator at the first opportunity under its protocols whether that is in its posting of its Projected Net Revenue Requirement, its Informational Filing with FERC or its posting of its Annual True-Up as those times are set in the protocols.  Cheyenne Light’s support must include a showing that the prepayment is of an expense that is included in the costs allocated to OATT transmission service in the given year, that the amount is properly recorded in Account 165, and that the allocation method proposed for the prepayment amount matches the allocation method for the expense in the cost-of-service.  In addition, if a customer acting pursuant to the formal challenge process under the protocols challenges inclusion of a new prepayment and/or prepayment allocator or if FERC institutes a FPA 206 in response to Cheyenne Light including a new prepayment and/or prepayment allocator, Cheyenne Light while not required to make a FPA section 205 filing for such change(s), shall bear a FPA Section 205 burden to show that its inclusion of the new prepayment and choice of allocator results in a just and reasonable allocation of costs to OATT Transmission Service.  The foregoing disclosure obligations and retention of burden applies only in the instances described in this note.</t>
  </si>
  <si>
    <t>Account 182.3 / 254 (Note F)</t>
  </si>
  <si>
    <t>The net amortization of the regulatory liability for excess deferred income taxes in Account 254 and the associated deferred tax asset in Account 190 is a positive number.  The net amortization of excess deferred income taxes reduces income tax expense by the net amortization amount multiplied by (1/(1-T)) on Attachment H.  The Excess or Deficient ADIT are amortized to Accounts 410.1 / 411.1.</t>
  </si>
  <si>
    <t>Enter the Negatives of the individual amounts comprising the net total excess deferred income tax related balance in Account 254.  In December 2017, the Company remeasured its deferred tax assets and liabilities to the new federal corporate income tax rate of 21%. The result of this remeasurement was a reduction in the net deferred tax liability and a corresponding increase in regulatory liabilities to reflect the return of excess taxes to customers. Account 254 Regulatory Liability for EDIT is presented grossed-up for tax purposes.   This regulatory liability is a temporary difference for which a deferred tax asset is recognized in Account 190.  Cheynne Light would follow the process described above to remeasure ADIT balance (increase or decrease) due to any future income tax rate change.</t>
  </si>
  <si>
    <t>Prior to 2019, the total balance of Acccount 254015 Regulatory Liability for EDIT is per company records.  For 2019 forward, the total balance of Account 254015 Regulatory Liability for EDIT will be as directly shown on Page 278.5 of the Cheyenne Light Form 1.  In each instance, all amounts are exclusive of any non-electric balances.</t>
  </si>
  <si>
    <t>Total Protected Property - EDIT</t>
  </si>
  <si>
    <t>Total Non-Protected Property - EDIT</t>
  </si>
  <si>
    <t>Total Non-Protected Non-Property - EDIT</t>
  </si>
  <si>
    <t>Total Account 182.3 / 254 Regulatory Liability EDIT (Note G)</t>
  </si>
  <si>
    <t xml:space="preserve">Account 254 Regulatory Liabiltiy for EDIT is grossed up for tax purposes.   This regulatory liability is a temporary difference for which a deferred tax asset was recognized in Account 190.  </t>
  </si>
  <si>
    <t>Amortization of Account 190 Deferred Tax Asset on Regulatory Liability for EDIT (Note K)</t>
  </si>
  <si>
    <t>Amortization of Account 254015 Regulatory Liability for EDIT (Note K)</t>
  </si>
  <si>
    <t>Ending Balance of Account 190 for EDIT Tax Gross Up Offset</t>
  </si>
  <si>
    <t>Amount of Tax Gross Up Offset on EDIT</t>
  </si>
  <si>
    <t>Account 190 Not Including EDIT Tax Gross Up</t>
  </si>
  <si>
    <t>Beginning Balance of Account 190 for EDIT Tax Gross Up Offset</t>
  </si>
  <si>
    <t>Total Protected NOL - DDIT</t>
  </si>
  <si>
    <t>General Plant (Electric Only)</t>
  </si>
  <si>
    <t>Common Plant (CLFP Owned)</t>
  </si>
  <si>
    <t>LAND IMPROVEMENTS</t>
  </si>
  <si>
    <t>SYSTEM DEVELOPMENT</t>
  </si>
  <si>
    <t>COMMUNICATION EQUIPMENT - TOWERS</t>
  </si>
  <si>
    <t>The depreciation/amortization rates included in this worksheet were approved by FERC in Docket Nos. ER 19-697 and EL19-41-000 and cannot be changed by Cheyenne Light without an FPA 205 filing.</t>
  </si>
  <si>
    <t xml:space="preserve">TRANSPORTATION EQUIPMENT </t>
  </si>
  <si>
    <t>STRUCTURES AND IMPROVEMENTS</t>
  </si>
  <si>
    <t>If Cheyenne Light includes a new item in the category designated “Other” in line 18 of Attachment H and populates an appropriate allocator, it will provide a justification of what has been included in that “Other” category and justification for its choice of allocator at the first opportunity under its protocols whether that is in its posting of its Projected Net Revenue Requirement, its Informational Filing with FERC or its posting of its Annual True-Up as those times are set in the protocols.  In addition, if a customer acting pursuant to the formal challenge process under the protocols challenges inclusion of a new item in the category designated “Other" in line 18 of Attachment H or in response to the allocator Cheyenne Light utilizes or if FERC institutes a FPA 206 in response to Cheyenne Light’s inclusion of a new item in the category designated “Other" in line 18 of Attachment H or in response to the allocator Cheyenne Light utilizes, Cheyenne Light while not required to make a FPA section 205 filing for such change(s), shall bear a FPA Section 205 burden to show that its inclusion of a new item in the category designated "Other" in line 18 of Attachment H and the associated allocator results in a just and reasonable allocation of costs to OATT Transmission Service.  The foregoing disclosure obligations and retention of burden applies only in the instances described in this note.</t>
  </si>
  <si>
    <t>Amortization of Excess Deferred Income Taxes Transmission only</t>
  </si>
  <si>
    <t>Permanent Differences  Transmission only</t>
  </si>
  <si>
    <t xml:space="preserve">  Excess Deferred Fed Income Taxes Transmission Only</t>
  </si>
  <si>
    <t xml:space="preserve">  Excess Deferred Fed Income Taxes (Note C) Transmission only</t>
  </si>
  <si>
    <t xml:space="preserve">Debt cost rate = long-term interest (line 21) / long term debt (line 28).  Preferred cost rate = preferred dividends (line 22) / preferred outstanding (line 29).   ROE will be supported in the original filing and no change in ROE may be made absent a filing with FERC.  </t>
  </si>
  <si>
    <t>To Actual Attachment H, page 2, line 24aa</t>
  </si>
  <si>
    <t>v</t>
  </si>
  <si>
    <t>w</t>
  </si>
  <si>
    <t>x</t>
  </si>
  <si>
    <t>y</t>
  </si>
  <si>
    <t>Worksheet P1, Line 29, Column (f)</t>
  </si>
  <si>
    <t>Worksheet P1, Line 29, Column (h)</t>
  </si>
  <si>
    <t>Worksheet P1, Line 28, Column (c)</t>
  </si>
  <si>
    <t>Worksheet P1, Page 3, Column t, Line 27a</t>
  </si>
  <si>
    <t>Actual Attachment H, Page 4, Line 30</t>
  </si>
  <si>
    <t>Projected Attachment H, Page 5, Line 6</t>
  </si>
  <si>
    <t>Line 2 less Lines 3 through 7</t>
  </si>
  <si>
    <t>Line 8 less Line 10</t>
  </si>
  <si>
    <t xml:space="preserve">     Adjustments to A&amp;G</t>
  </si>
  <si>
    <t>TOTAL O&amp;M  (sum lines 1, 3, 5a, 5b, 6, 7 less lines 2, 2a, 5, 5c)</t>
  </si>
  <si>
    <t>TOTAL O&amp;M  (sum lines 1, 3, 5a, 5b, 6, 7 less lines 2, 2a,  5, 5c)</t>
  </si>
  <si>
    <t>(Sum lines 3,6,9,10,12,13 less lines 4,5,8,11)</t>
  </si>
  <si>
    <t>yyyy</t>
  </si>
  <si>
    <t>350.b</t>
  </si>
  <si>
    <t>Lease</t>
  </si>
  <si>
    <t>Wygen 2 Ground Lease (Production)</t>
  </si>
  <si>
    <t>Harriman Communication tower lease (Distribution)</t>
  </si>
  <si>
    <t>Horse Creek Site Trunking System Repeater Radio (Distribution)</t>
  </si>
  <si>
    <t xml:space="preserve">Branding </t>
  </si>
  <si>
    <t>Advertising and Promo</t>
  </si>
  <si>
    <t>BHBE System</t>
  </si>
  <si>
    <t>ARH Commodity</t>
  </si>
  <si>
    <t>Actuals - For the 12 months ended 12/31/2022</t>
  </si>
  <si>
    <t>(Sum of Lines 12-15)</t>
  </si>
  <si>
    <t>NF</t>
  </si>
  <si>
    <t>OS</t>
  </si>
  <si>
    <t>Inventory</t>
  </si>
  <si>
    <t>Maintenance</t>
  </si>
  <si>
    <t>Inventory - CPGS prepayment</t>
  </si>
  <si>
    <t>Maintenance - CPGS prepayment</t>
  </si>
  <si>
    <t>Estimated - For the 12 months ended 12/31/2024</t>
  </si>
  <si>
    <t>Plant Balances as of Dec 31, 2022 &gt;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</si>
</sst>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7">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quot;$&quot;#,##0.00"/>
    <numFmt numFmtId="173" formatCode="_(&quot;$&quot;* #,##0_);_(&quot;$&quot;* \(#,##0\);_(&quot;$&quot;* &quot;-&quot;??_);_(@_)"/>
    <numFmt numFmtId="174" formatCode="_(* #,##0_);_(* \(#,##0\);_(* &quot;-&quot;??_);_(@_)"/>
    <numFmt numFmtId="175" formatCode="&quot;$&quot;#,##0.0;[Red]\-&quot;$&quot;#,##0.0"/>
    <numFmt numFmtId="176" formatCode="00000"/>
    <numFmt numFmtId="177" formatCode="#,##0\ ;\(#,##0\);\-\ \ \ \ \ "/>
    <numFmt numFmtId="178" formatCode="#,##0\ ;\(#,##0\);\–\ \ \ \ \ "/>
    <numFmt numFmtId="179" formatCode="#,##0;\(#,##0\)"/>
    <numFmt numFmtId="180" formatCode="yyyymmdd"/>
    <numFmt numFmtId="181" formatCode="_([$€-2]* #,##0.00_);_([$€-2]* \(#,##0.00\);_([$€-2]* &quot;-&quot;??_)"/>
    <numFmt numFmtId="182" formatCode="_-* #,##0.0_-;\-* #,##0.0_-;_-* &quot;-&quot;??_-;_-@_-"/>
    <numFmt numFmtId="183" formatCode="#,##0.00&quot; $&quot;;\-#,##0.00&quot; $&quot;"/>
    <numFmt numFmtId="184" formatCode="000000000"/>
    <numFmt numFmtId="185" formatCode="#,##0.0_);\(#,##0.0\)"/>
    <numFmt numFmtId="186" formatCode="_-&quot;£&quot;* #,##0_-;\-&quot;£&quot;* #,##0_-;_-&quot;£&quot;* &quot;-&quot;_-;_-@_-"/>
    <numFmt numFmtId="187" formatCode="_-&quot;£&quot;* #,##0.00_-;\-&quot;£&quot;* #,##0.00_-;_-&quot;£&quot;* &quot;-&quot;??_-;_-@_-"/>
    <numFmt numFmtId="188" formatCode="0.00_)"/>
    <numFmt numFmtId="189" formatCode="00"/>
    <numFmt numFmtId="190" formatCode="0_);\(0\)"/>
    <numFmt numFmtId="191" formatCode="000\-00\-0000"/>
    <numFmt numFmtId="192" formatCode="mmm\-yyyy"/>
    <numFmt numFmtId="193" formatCode="0.0000%"/>
    <numFmt numFmtId="194" formatCode="0.0%_);\(0.0%\)"/>
    <numFmt numFmtId="195" formatCode="\•\ \ @"/>
    <numFmt numFmtId="196" formatCode="#,##0,_);\(#,##0,\)"/>
    <numFmt numFmtId="197" formatCode="0.0,_);\(0.0,\)"/>
    <numFmt numFmtId="198" formatCode="0.00,_);\(0.00,\)"/>
    <numFmt numFmtId="199" formatCode="#,##0.000_);\(#,##0.000\)"/>
    <numFmt numFmtId="200" formatCode="_._.* #,##0.0_)_%;_._.* \(#,##0.0\)_%;_._.* \ ?_)_%"/>
    <numFmt numFmtId="201" formatCode="_._.* #,##0.00_)_%;_._.* \(#,##0.00\)_%;_._.* \ ?_)_%"/>
    <numFmt numFmtId="202" formatCode="_._.* #,##0.000_)_%;_._.* \(#,##0.000\)_%;_._.* \ ?_)_%"/>
    <numFmt numFmtId="203" formatCode="_._.* #,##0.0000_)_%;_._.* \(#,##0.0000\)_%;_._.* \ ?_)_%"/>
    <numFmt numFmtId="204" formatCode="_._.&quot;$&quot;* #,##0.0_)_%;_._.&quot;$&quot;* \(#,##0.0\)_%;_._.&quot;$&quot;* \ ?_)_%"/>
    <numFmt numFmtId="205" formatCode="_._.&quot;$&quot;* #,##0.00_)_%;_._.&quot;$&quot;* \(#,##0.00\)_%;_._.&quot;$&quot;* \ ?_)_%"/>
    <numFmt numFmtId="206" formatCode="_._.&quot;$&quot;* #,##0.000_)_%;_._.&quot;$&quot;* \(#,##0.000\)_%;_._.&quot;$&quot;* \ ?_)_%"/>
    <numFmt numFmtId="207" formatCode="_._.&quot;$&quot;* #,##0.0000_)_%;_._.&quot;$&quot;* \(#,##0.0000\)_%;_._.&quot;$&quot;* \ ?_)_%"/>
    <numFmt numFmtId="208" formatCode="&quot;$&quot;#,##0,_);\(&quot;$&quot;#,##0,\)"/>
    <numFmt numFmtId="209" formatCode="&quot;$&quot;#,##0.0_);\(&quot;$&quot;#,##0.0\)"/>
    <numFmt numFmtId="210" formatCode="&quot;$&quot;0.0,_);\(&quot;$&quot;0.0,\)"/>
    <numFmt numFmtId="211" formatCode="&quot;$&quot;0.00,_);\(&quot;$&quot;0.00,\)"/>
    <numFmt numFmtId="212" formatCode="&quot;$&quot;#,##0.000_);\(&quot;$&quot;#,##0.000\)"/>
    <numFmt numFmtId="213" formatCode="#,##0.0\x_);\(#,##0.0\x\)"/>
    <numFmt numFmtId="214" formatCode="#,##0.00\x_);\(#,##0.00\x\)"/>
    <numFmt numFmtId="215" formatCode="[$€-2]\ #,##0_);\([$€-2]\ #,##0\)"/>
    <numFmt numFmtId="216" formatCode="[$€-2]\ #,##0.0_);\([$€-2]\ #,##0.0\)"/>
    <numFmt numFmtId="217" formatCode="#,##0\x;\(#,##0\x\)"/>
    <numFmt numFmtId="218" formatCode="0.0\x;\(0.0\x\)"/>
    <numFmt numFmtId="219" formatCode="#,##0.00\x;\(#,##0.00\x\)"/>
    <numFmt numFmtId="220" formatCode="#,##0.000\x;\(#,##0.000\x\)"/>
    <numFmt numFmtId="221" formatCode="0.0_);\(0.0\)"/>
    <numFmt numFmtId="222" formatCode="0%;\(0%\)"/>
    <numFmt numFmtId="223" formatCode="0.0%;\(0.0%\)"/>
    <numFmt numFmtId="224" formatCode="0.00%_);\(0.00%\)"/>
    <numFmt numFmtId="225" formatCode="0.000%_);\(0.000%\)"/>
    <numFmt numFmtId="226" formatCode="_(0_)%;\(0\)%;\ \ ?_)%"/>
    <numFmt numFmtId="227" formatCode="_._._(* 0_)%;_._.* \(0\)%;_._._(* \ ?_)%"/>
    <numFmt numFmtId="228" formatCode="0%_);\(0%\)"/>
    <numFmt numFmtId="229" formatCode="_(0.0_)%;\(0.0\)%;\ \ ?_)%"/>
    <numFmt numFmtId="230" formatCode="_._._(* 0.0_)%;_._.* \(0.0\)%;_._._(* \ ?_)%"/>
    <numFmt numFmtId="231" formatCode="_(0.00_)%;\(0.00\)%;\ \ ?_)%"/>
    <numFmt numFmtId="232" formatCode="_._._(* 0.00_)%;_._.* \(0.00\)%;_._._(* \ ?_)%"/>
    <numFmt numFmtId="233" formatCode="_(0.000_)%;\(0.000\)%;\ \ ?_)%"/>
    <numFmt numFmtId="234" formatCode="_._._(* 0.000_)%;_._.* \(0.000\)%;_._._(* \ ?_)%"/>
    <numFmt numFmtId="235" formatCode="_(0.0000_)%;\(0.0000\)%;\ \ ?_)%"/>
    <numFmt numFmtId="236" formatCode="_._._(* 0.0000_)%;_._.* \(0.0000\)%;_._._(* \ ?_)%"/>
    <numFmt numFmtId="237" formatCode="0.0%"/>
    <numFmt numFmtId="238" formatCode="_(* #,##0_);_(* \(#,##0\);_(* \ ?_)"/>
    <numFmt numFmtId="239" formatCode="_(* #,##0.0_);_(* \(#,##0.0\);_(* \ ?_)"/>
    <numFmt numFmtId="240" formatCode="_(* #,##0.00_);_(* \(#,##0.00\);_(* \ ?_)"/>
    <numFmt numFmtId="241" formatCode="_(* #,##0.000_);_(* \(#,##0.000\);_(* \ ?_)"/>
    <numFmt numFmtId="242" formatCode="_(&quot;$&quot;* #,##0_);_(&quot;$&quot;* \(#,##0\);_(&quot;$&quot;* \ ?_)"/>
    <numFmt numFmtId="243" formatCode="_(&quot;$&quot;* #,##0.0_);_(&quot;$&quot;* \(#,##0.0\);_(&quot;$&quot;* \ ?_)"/>
    <numFmt numFmtId="244" formatCode="_(&quot;$&quot;* #,##0.00_);_(&quot;$&quot;* \(#,##0.00\);_(&quot;$&quot;* \ ?_)"/>
    <numFmt numFmtId="245" formatCode="_(&quot;$&quot;* #,##0.000_);_(&quot;$&quot;* \(#,##0.000\);_(&quot;$&quot;* \ ?_)"/>
    <numFmt numFmtId="246" formatCode="0000&quot;A&quot;"/>
    <numFmt numFmtId="247" formatCode="0&quot;E&quot;"/>
    <numFmt numFmtId="248" formatCode="0000&quot;E&quot;"/>
    <numFmt numFmtId="249" formatCode="_(* #,##0.000_);_(* \(#,##0.000\);_(* &quot;-&quot;??_);_(@_)"/>
    <numFmt numFmtId="250" formatCode=";;;\(@\)"/>
    <numFmt numFmtId="251" formatCode="_(* #,##0.0_);_(* \(#,##0.0\);_(* &quot;-&quot;_0_);_(@_)"/>
    <numFmt numFmtId="252" formatCode="#,##0\ ;[Red]\(#,##0\)"/>
    <numFmt numFmtId="253" formatCode="#,##0."/>
    <numFmt numFmtId="254" formatCode="&quot; &quot;&quot;$&quot;* #,##0.00&quot;/kw  &quot;"/>
    <numFmt numFmtId="255" formatCode="_(&quot;$&quot;* #,##0.0000_);_(&quot;$&quot;* \(#,##0.0000\);_(&quot;$&quot;* &quot;-&quot;????_);_(@_)"/>
    <numFmt numFmtId="256" formatCode="m/d/yy\ h:mm"/>
    <numFmt numFmtId="257" formatCode="0."/>
    <numFmt numFmtId="258" formatCode="* #,##0&quot;  &quot;\ "/>
    <numFmt numFmtId="259" formatCode="_(&quot;N$&quot;* #,##0_);_(&quot;N$&quot;* \(#,##0\);_(&quot;N$&quot;* &quot;-&quot;_);_(@_)"/>
    <numFmt numFmtId="260" formatCode="_(&quot;N$&quot;* #,##0.00_);_(&quot;N$&quot;* \(#,##0.00\);_(&quot;N$&quot;* &quot;-&quot;??_);_(@_)"/>
    <numFmt numFmtId="261" formatCode="#,##0.0000\ ;[Red]\(#,##0.0000\)"/>
    <numFmt numFmtId="262" formatCode="_(* #,##0_);_(* \(#,##0\);_(* &quot;&quot;_);_(@_)"/>
    <numFmt numFmtId="263" formatCode="_(* 0%_);_(* \(0%\);_(* \-_%_)"/>
    <numFmt numFmtId="264" formatCode="#,##0.0\ \ \ \ ;[Red]\(#,##0.0\)\ \ "/>
    <numFmt numFmtId="265" formatCode="0.0\ \ \ \ \ \ ;[Red]\(0.0\)\ \ \ \ "/>
    <numFmt numFmtId="266" formatCode="0.0\ \ \ \ \ \ \ \ ;[Red]\(0.0\)\ \ \ \ \ \ "/>
    <numFmt numFmtId="267" formatCode="mmm\ dd\,\ yyyy"/>
    <numFmt numFmtId="268" formatCode="yyyy"/>
    <numFmt numFmtId="269" formatCode="_(* #,##0,_);_(* \(#,##0,\);_(* &quot;-   &quot;_);_(@_)"/>
    <numFmt numFmtId="270" formatCode="_(* #,##0.0,_);_(* \(#,##0.0,\);_(* &quot;-   &quot;_);_(@_)"/>
    <numFmt numFmtId="271" formatCode="_(* #,##0.00000_);_(* \(#,##0.00000\);_(* &quot;-&quot;??_);_(@_)"/>
    <numFmt numFmtId="272" formatCode="_(* #,##0.0\¢_m;[Red]_(* \-#,##0.0\¢_m;[Green]_(* 0.0\¢_m;_(@_)_%"/>
    <numFmt numFmtId="273" formatCode="_(* #,##0.00\¢_m;[Red]_(* \-#,##0.00\¢_m;[Green]_(* 0.00\¢_m;_(@_)_%"/>
    <numFmt numFmtId="274" formatCode="_(* #,##0.000\¢_m;[Red]_(* \-#,##0.000\¢_m;[Green]_(* 0.000\¢_m;_(@_)_%"/>
    <numFmt numFmtId="275" formatCode="_(_(\£* #,##0_)_%;[Red]_(\(\£* #,##0\)_%;[Green]_(_(\£* #,##0_)_%;_(@_)_%"/>
    <numFmt numFmtId="276" formatCode="_(_(\£* #,##0.0_)_%;[Red]_(\(\£* #,##0.0\)_%;[Green]_(_(\£* #,##0.0_)_%;_(@_)_%"/>
    <numFmt numFmtId="277" formatCode="_(_(\£* #,##0.00_)_%;[Red]_(\(\£* #,##0.00\)_%;[Green]_(_(\£* #,##0.00_)_%;_(@_)_%"/>
    <numFmt numFmtId="278" formatCode="_(_(\•_ #0_)_%;[Red]_(_(\•_ \-#0\)_%;[Green]_(_(\•_ #0_)_%;_(_(\•_ @_)_%"/>
    <numFmt numFmtId="279" formatCode="_(_(_•_ \•_ #0_)_%;[Red]_(_(_•_ \•_ \-#0\)_%;[Green]_(_(_•_ \•_ #0_)_%;_(_(_•_ \•_ @_)_%"/>
    <numFmt numFmtId="280" formatCode="_(_(_•_ _•_ \•_ #0_)_%;[Red]_(_(_•_ _•_ \•_ \-#0\)_%;[Green]_(_(_•_ _•_ \•_ #0_)_%;_(_(_•_ \•_ @_)_%"/>
    <numFmt numFmtId="281" formatCode="_(_(_$* #,##0.000_)_%;[Red]_(\(_$* #,##0.000\)_%;[Green]_(_(_$* #,##0.000_)_%;_(@_)_%"/>
    <numFmt numFmtId="282" formatCode="_(_(&quot;$&quot;* #,##0.0_)_%;[Red]_(\(&quot;$&quot;* #,##0.0\)_%;[Green]_(_(&quot;$&quot;* #,##0.0_)_%;_(@_)_%"/>
    <numFmt numFmtId="283" formatCode="_(_(&quot;$&quot;* #,##0.000_)_%;[Red]_(\(&quot;$&quot;* #,##0.000\)_%;[Green]_(_(&quot;$&quot;* #,##0.000_)_%;_(@_)_%"/>
    <numFmt numFmtId="284" formatCode="_(* dd\-mmm\-yy_)_%"/>
    <numFmt numFmtId="285" formatCode="_(* dd\ mmmm\ yyyy_)_%"/>
    <numFmt numFmtId="286" formatCode="_(* mmmm\ dd\,\ yyyy_)_%"/>
    <numFmt numFmtId="287" formatCode="_(* dd\.mm\.yyyy_)_%"/>
    <numFmt numFmtId="288" formatCode="_(* mm/dd/yyyy_)_%"/>
    <numFmt numFmtId="289" formatCode="m/d/yy;@"/>
    <numFmt numFmtId="290" formatCode="General_)_%"/>
    <numFmt numFmtId="291" formatCode="_(_(#0_)_%;[Red]_(_(\-#0\)_%;[Green]_(_(#0_)_%;_(_(@_)_%"/>
    <numFmt numFmtId="292" formatCode="_(_(_•_ #0_)_%;[Red]_(_(_•_ \-#0\)_%;[Green]_(_(_•_ #0_)_%;_(_(_•_ @_)_%"/>
    <numFmt numFmtId="293" formatCode="_(_(_•_ _•_ #0_)_%;[Red]_(_(_•_ _•_ \-#0\)_%;[Green]_(_(_•_ _•_ #0_)_%;_(_(_•_ _•_ @_)_%"/>
    <numFmt numFmtId="294" formatCode="_(_(_•_ _•_ _•_ #0_)_%;[Red]_(_(_•_ _•_ _•_ \-#0\)_%;[Green]_(_(_•_ _•_ _•_ #0_)_%;_(_(_•_ _•_ _•_ @_)_%"/>
    <numFmt numFmtId="295" formatCode="0.00\ \x_);\(0.00\ \x\)"/>
    <numFmt numFmtId="296" formatCode="_(* #,##0_);_(* \(#,##0\);_(* &quot;-&quot;????_);_(@_)"/>
    <numFmt numFmtId="297" formatCode="0__"/>
    <numFmt numFmtId="298" formatCode="h:mmAM/PM"/>
    <numFmt numFmtId="299" formatCode="0&quot; E&quot;"/>
    <numFmt numFmtId="300" formatCode="&quot;$&quot;#,##0.0"/>
    <numFmt numFmtId="301" formatCode="_(* #,##0.0%_);[Red]_(* \-#,##0.0%_);[Green]_(* 0.0%_);_(@_)_%"/>
    <numFmt numFmtId="302" formatCode="_(* #,##0.000%_);[Red]_(* \-#,##0.000%_);[Green]_(* 0.000%_);_(@_)_%"/>
    <numFmt numFmtId="303" formatCode="mmmm\ dd\,\ yy"/>
    <numFmt numFmtId="304" formatCode="0.0\x"/>
    <numFmt numFmtId="305" formatCode="_(* #,##0.0000_);_(* \(#,##0.0000\);_(* &quot;-&quot;??_);_(@_)"/>
    <numFmt numFmtId="306" formatCode="[$-409]mmm\-yy;@"/>
    <numFmt numFmtId="307" formatCode="_(* #,##0.0_);_(* \(#,##0.0\);_(* &quot;-&quot;?_);_(@_)"/>
    <numFmt numFmtId="308" formatCode="_(* #,##0_);_(* \(#,##0\);_(* &quot;-&quot;?_);_(@_)"/>
    <numFmt numFmtId="309" formatCode="&quot;$&quot;#,##0.0000_);\(&quot;$&quot;#,##0.0000\)"/>
    <numFmt numFmtId="310" formatCode="_(* #,##0.0000_);_(* \(#,##0.0000\);_(* &quot;-&quot;_);_(@_)"/>
    <numFmt numFmtId="311" formatCode="\(0\)"/>
    <numFmt numFmtId="312" formatCode="_(&quot;$&quot;* #,##0.000_);_(&quot;$&quot;* \(#,##0.000\);_(&quot;$&quot;* &quot;-&quot;??_);_(@_)"/>
    <numFmt numFmtId="313" formatCode="_(&quot;$&quot;* #,##0.0000_);_(&quot;$&quot;* \(#,##0.0000\);_(&quot;$&quot;* &quot;-&quot;_);_(@_)"/>
  </numFmts>
  <fonts count="195">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0"/>
      <name val="Arial"/>
      <family val="2"/>
    </font>
    <font>
      <sz val="12"/>
      <name val="Arial MT"/>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amily val="2"/>
    </font>
    <font>
      <b/>
      <sz val="12"/>
      <name val="Arial"/>
      <family val="2"/>
    </font>
    <font>
      <sz val="10"/>
      <name val="Times New Roman"/>
      <family val="1"/>
    </font>
    <font>
      <sz val="10"/>
      <name val="MS Sans Serif"/>
      <family val="2"/>
    </font>
    <font>
      <sz val="11"/>
      <color indexed="8"/>
      <name val="Calibri"/>
      <family val="2"/>
    </font>
    <font>
      <sz val="11"/>
      <color indexed="9"/>
      <name val="Calibri"/>
      <family val="2"/>
    </font>
    <font>
      <sz val="8"/>
      <name val="Helv"/>
    </font>
    <font>
      <sz val="9"/>
      <name val="AGaramond"/>
    </font>
    <font>
      <sz val="11"/>
      <color indexed="20"/>
      <name val="Calibri"/>
      <family val="2"/>
    </font>
    <font>
      <sz val="12"/>
      <name val="Tms Rmn"/>
    </font>
    <font>
      <sz val="11"/>
      <name val="Times New Roman"/>
      <family val="1"/>
    </font>
    <font>
      <sz val="8"/>
      <name val="Arial"/>
      <family val="2"/>
    </font>
    <font>
      <b/>
      <i/>
      <sz val="14"/>
      <name val="Arial"/>
      <family val="2"/>
    </font>
    <font>
      <b/>
      <sz val="14"/>
      <name val="Arial"/>
      <family val="2"/>
    </font>
    <font>
      <b/>
      <sz val="24"/>
      <name val="Arial Narrow"/>
      <family val="2"/>
    </font>
    <font>
      <b/>
      <i/>
      <sz val="12"/>
      <name val="Arial"/>
      <family val="2"/>
    </font>
    <font>
      <i/>
      <sz val="12"/>
      <name val="Arial"/>
      <family val="2"/>
    </font>
    <font>
      <i/>
      <sz val="10"/>
      <name val="Arial"/>
      <family val="2"/>
    </font>
    <font>
      <sz val="8"/>
      <color indexed="8"/>
      <name val="Arial"/>
      <family val="2"/>
    </font>
    <font>
      <i/>
      <sz val="10"/>
      <color indexed="18"/>
      <name val="Arial"/>
      <family val="2"/>
    </font>
    <font>
      <sz val="10"/>
      <color indexed="18"/>
      <name val="Arial"/>
      <family val="2"/>
    </font>
    <font>
      <i/>
      <sz val="9"/>
      <color indexed="18"/>
      <name val="Arial"/>
      <family val="2"/>
    </font>
    <font>
      <sz val="9"/>
      <color indexed="18"/>
      <name val="Arial"/>
      <family val="2"/>
    </font>
    <font>
      <b/>
      <sz val="11"/>
      <color indexed="52"/>
      <name val="Calibri"/>
      <family val="2"/>
    </font>
    <font>
      <b/>
      <sz val="11"/>
      <color indexed="9"/>
      <name val="Calibri"/>
      <family val="2"/>
    </font>
    <font>
      <sz val="8"/>
      <name val="Tahoma"/>
      <family val="2"/>
    </font>
    <font>
      <sz val="12"/>
      <name val="Helv"/>
    </font>
    <font>
      <sz val="10"/>
      <color indexed="8"/>
      <name val="Arial"/>
      <family val="2"/>
    </font>
    <font>
      <i/>
      <sz val="11"/>
      <color indexed="23"/>
      <name val="Calibri"/>
      <family val="2"/>
    </font>
    <font>
      <sz val="10"/>
      <name val="Helv"/>
    </font>
    <font>
      <sz val="9"/>
      <name val="GillSans"/>
    </font>
    <font>
      <sz val="9"/>
      <name val="GillSans Light"/>
    </font>
    <font>
      <sz val="11"/>
      <color indexed="17"/>
      <name val="Calibri"/>
      <family val="2"/>
    </font>
    <font>
      <b/>
      <u/>
      <sz val="11"/>
      <color indexed="37"/>
      <name val="Arial"/>
      <family val="2"/>
    </font>
    <font>
      <b/>
      <sz val="15"/>
      <name val="Times New Roman"/>
      <family val="1"/>
    </font>
    <font>
      <b/>
      <sz val="15"/>
      <color indexed="56"/>
      <name val="Calibri"/>
      <family val="2"/>
    </font>
    <font>
      <b/>
      <sz val="13"/>
      <color indexed="56"/>
      <name val="Calibri"/>
      <family val="2"/>
    </font>
    <font>
      <b/>
      <sz val="11"/>
      <color indexed="56"/>
      <name val="Calibri"/>
      <family val="2"/>
    </font>
    <font>
      <sz val="10"/>
      <color indexed="12"/>
      <name val="Arial"/>
      <family val="2"/>
    </font>
    <font>
      <sz val="11"/>
      <color indexed="62"/>
      <name val="Calibri"/>
      <family val="2"/>
    </font>
    <font>
      <sz val="11"/>
      <color indexed="52"/>
      <name val="Calibri"/>
      <family val="2"/>
    </font>
    <font>
      <sz val="12"/>
      <color indexed="14"/>
      <name val="Arial"/>
      <family val="2"/>
    </font>
    <font>
      <u/>
      <sz val="8"/>
      <name val="Helv"/>
    </font>
    <font>
      <sz val="11"/>
      <color indexed="60"/>
      <name val="Calibri"/>
      <family val="2"/>
    </font>
    <font>
      <sz val="8"/>
      <name val="Times New Roman"/>
      <family val="1"/>
    </font>
    <font>
      <sz val="7"/>
      <name val="Small Fonts"/>
      <family val="2"/>
    </font>
    <font>
      <b/>
      <i/>
      <sz val="16"/>
      <name val="Helv"/>
    </font>
    <font>
      <b/>
      <sz val="10"/>
      <name val="Arial"/>
      <family val="2"/>
    </font>
    <font>
      <b/>
      <sz val="11"/>
      <color indexed="63"/>
      <name val="Calibri"/>
      <family val="2"/>
    </font>
    <font>
      <b/>
      <sz val="10"/>
      <name val="MS Sans Serif"/>
      <family val="2"/>
    </font>
    <font>
      <b/>
      <i/>
      <sz val="16"/>
      <name val="Arial"/>
      <family val="2"/>
    </font>
    <font>
      <i/>
      <sz val="11"/>
      <name val="Arial"/>
      <family val="2"/>
    </font>
    <font>
      <sz val="11"/>
      <name val="Arial"/>
      <family val="2"/>
    </font>
    <font>
      <u val="singleAccounting"/>
      <sz val="10"/>
      <name val="MGaramond"/>
      <family val="1"/>
    </font>
    <font>
      <b/>
      <sz val="16"/>
      <color indexed="16"/>
      <name val="Arial"/>
      <family val="2"/>
    </font>
    <font>
      <b/>
      <sz val="10"/>
      <color indexed="16"/>
      <name val="Arial"/>
      <family val="2"/>
    </font>
    <font>
      <b/>
      <sz val="12"/>
      <color indexed="16"/>
      <name val="Arial"/>
      <family val="2"/>
    </font>
    <font>
      <sz val="7"/>
      <color indexed="16"/>
      <name val="Arial"/>
      <family val="2"/>
    </font>
    <font>
      <sz val="12"/>
      <color indexed="12"/>
      <name val="Arial MT"/>
    </font>
    <font>
      <b/>
      <sz val="11"/>
      <name val="Times New Roman"/>
      <family val="1"/>
    </font>
    <font>
      <b/>
      <sz val="18"/>
      <color indexed="56"/>
      <name val="Cambria"/>
      <family val="2"/>
    </font>
    <font>
      <b/>
      <sz val="11"/>
      <color indexed="8"/>
      <name val="Calibri"/>
      <family val="2"/>
    </font>
    <font>
      <sz val="8"/>
      <color indexed="12"/>
      <name val="Arial"/>
      <family val="2"/>
    </font>
    <font>
      <sz val="11"/>
      <color indexed="10"/>
      <name val="Calibri"/>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sz val="9"/>
      <name val="Arial"/>
      <family val="2"/>
    </font>
    <font>
      <i/>
      <sz val="10"/>
      <color rgb="FF7F7F7F"/>
      <name val="Arial"/>
      <family val="2"/>
    </font>
    <font>
      <sz val="10"/>
      <color rgb="FF006100"/>
      <name val="Arial"/>
      <family val="2"/>
    </font>
    <font>
      <b/>
      <sz val="15"/>
      <color indexed="62"/>
      <name val="Calibri"/>
      <family val="2"/>
    </font>
    <font>
      <b/>
      <sz val="15"/>
      <color theme="3"/>
      <name val="Arial"/>
      <family val="2"/>
    </font>
    <font>
      <b/>
      <sz val="13"/>
      <color indexed="62"/>
      <name val="Calibri"/>
      <family val="2"/>
    </font>
    <font>
      <b/>
      <sz val="13"/>
      <color theme="3"/>
      <name val="Arial"/>
      <family val="2"/>
    </font>
    <font>
      <b/>
      <sz val="11"/>
      <color indexed="62"/>
      <name val="Calibri"/>
      <family val="2"/>
    </font>
    <font>
      <b/>
      <sz val="11"/>
      <color theme="3"/>
      <name val="Arial"/>
      <family val="2"/>
    </font>
    <font>
      <u/>
      <sz val="10"/>
      <color theme="10"/>
      <name val="Arial"/>
      <family val="2"/>
    </font>
    <font>
      <sz val="10"/>
      <color rgb="FF3F3F76"/>
      <name val="Arial"/>
      <family val="2"/>
    </font>
    <font>
      <sz val="10"/>
      <color rgb="FFFA7D00"/>
      <name val="Arial"/>
      <family val="2"/>
    </font>
    <font>
      <sz val="10"/>
      <color rgb="FF9C6500"/>
      <name val="Arial"/>
      <family val="2"/>
    </font>
    <font>
      <sz val="10"/>
      <color theme="1"/>
      <name val="Calibri"/>
      <family val="2"/>
    </font>
    <font>
      <b/>
      <sz val="10"/>
      <color rgb="FF3F3F3F"/>
      <name val="Arial"/>
      <family val="2"/>
    </font>
    <font>
      <b/>
      <sz val="18"/>
      <color indexed="62"/>
      <name val="Cambria"/>
      <family val="2"/>
    </font>
    <font>
      <b/>
      <sz val="10"/>
      <color theme="1"/>
      <name val="Arial"/>
      <family val="2"/>
    </font>
    <font>
      <sz val="10"/>
      <color rgb="FFFF0000"/>
      <name val="Arial"/>
      <family val="2"/>
    </font>
    <font>
      <sz val="10"/>
      <color indexed="12"/>
      <name val="Times New Roman"/>
      <family val="1"/>
    </font>
    <font>
      <b/>
      <sz val="10"/>
      <color indexed="8"/>
      <name val="Times New Roman"/>
      <family val="1"/>
    </font>
    <font>
      <sz val="9"/>
      <color indexed="12"/>
      <name val="Arial"/>
      <family val="2"/>
    </font>
    <font>
      <sz val="9"/>
      <name val="Times New Roman"/>
      <family val="1"/>
    </font>
    <font>
      <b/>
      <sz val="9"/>
      <name val="Arial"/>
      <family val="2"/>
    </font>
    <font>
      <u val="singleAccounting"/>
      <sz val="11"/>
      <name val="Times New Roman"/>
      <family val="1"/>
    </font>
    <font>
      <b/>
      <sz val="11"/>
      <name val="Arial"/>
      <family val="2"/>
    </font>
    <font>
      <b/>
      <sz val="10"/>
      <name val="Times New Roman"/>
      <family val="1"/>
    </font>
    <font>
      <i/>
      <sz val="8"/>
      <name val="Arial"/>
      <family val="2"/>
    </font>
    <font>
      <sz val="10"/>
      <name val="Book Antiqua"/>
      <family val="1"/>
    </font>
    <font>
      <sz val="10"/>
      <color indexed="42"/>
      <name val="Arial"/>
      <family val="2"/>
    </font>
    <font>
      <b/>
      <sz val="10"/>
      <color indexed="22"/>
      <name val="Arial"/>
      <family val="2"/>
    </font>
    <font>
      <b/>
      <sz val="10"/>
      <color indexed="12"/>
      <name val="Arial"/>
      <family val="2"/>
    </font>
    <font>
      <sz val="10"/>
      <color indexed="12"/>
      <name val="Book Antiqua"/>
      <family val="1"/>
    </font>
    <font>
      <sz val="8"/>
      <color indexed="22"/>
      <name val="Arial"/>
      <family val="2"/>
    </font>
    <font>
      <sz val="10"/>
      <color indexed="40"/>
      <name val="Arial"/>
      <family val="2"/>
    </font>
    <font>
      <sz val="10"/>
      <color indexed="8"/>
      <name val="Times New Roman"/>
      <family val="1"/>
    </font>
    <font>
      <b/>
      <sz val="9"/>
      <name val="Times New Roman"/>
      <family val="1"/>
    </font>
    <font>
      <b/>
      <sz val="10"/>
      <color indexed="10"/>
      <name val="Arial"/>
      <family val="2"/>
    </font>
    <font>
      <sz val="10"/>
      <color indexed="21"/>
      <name val="Arial"/>
      <family val="2"/>
    </font>
    <font>
      <b/>
      <sz val="8"/>
      <name val="Arial"/>
      <family val="2"/>
    </font>
    <font>
      <sz val="9"/>
      <color indexed="10"/>
      <name val="Geneva"/>
    </font>
    <font>
      <sz val="10"/>
      <name val="Geneva"/>
      <family val="2"/>
    </font>
    <font>
      <sz val="10"/>
      <name val="Tms Rmn"/>
    </font>
    <font>
      <u val="singleAccounting"/>
      <sz val="10"/>
      <name val="Times"/>
      <family val="1"/>
    </font>
    <font>
      <sz val="10"/>
      <name val="Arial Narrow"/>
      <family val="2"/>
    </font>
    <font>
      <b/>
      <i/>
      <sz val="12"/>
      <color indexed="12"/>
      <name val="Arial"/>
      <family val="2"/>
    </font>
    <font>
      <sz val="8"/>
      <name val="BERNHARD"/>
    </font>
    <font>
      <sz val="1"/>
      <color indexed="8"/>
      <name val="Courier"/>
      <family val="3"/>
    </font>
    <font>
      <sz val="9"/>
      <name val="Geneva"/>
      <family val="2"/>
    </font>
    <font>
      <sz val="12"/>
      <color indexed="12"/>
      <name val="Helv"/>
    </font>
    <font>
      <sz val="12"/>
      <name val="Garamond"/>
      <family val="1"/>
    </font>
    <font>
      <sz val="10"/>
      <color indexed="12"/>
      <name val="MS Sans Serif"/>
      <family val="2"/>
    </font>
    <font>
      <b/>
      <sz val="10"/>
      <color indexed="12"/>
      <name val="MS Sans Serif"/>
      <family val="2"/>
    </font>
    <font>
      <sz val="5.5"/>
      <name val="Small Fonts"/>
      <family val="2"/>
    </font>
    <font>
      <sz val="10"/>
      <name val="Courier"/>
      <family val="3"/>
    </font>
    <font>
      <sz val="10"/>
      <name val="Arial"/>
      <family val="2"/>
    </font>
    <font>
      <u/>
      <sz val="12"/>
      <color theme="10"/>
      <name val="Arial MT"/>
    </font>
    <font>
      <sz val="10"/>
      <name val="C Helvetica Condensed"/>
    </font>
    <font>
      <b/>
      <i/>
      <sz val="14"/>
      <name val="Tms Rmn"/>
    </font>
    <font>
      <i/>
      <sz val="16"/>
      <name val="Times New Roman"/>
      <family val="1"/>
    </font>
    <font>
      <u/>
      <sz val="10"/>
      <name val="Times New Roman"/>
      <family val="1"/>
    </font>
    <font>
      <b/>
      <i/>
      <sz val="12"/>
      <name val="Times New Roman"/>
      <family val="1"/>
    </font>
    <font>
      <sz val="10"/>
      <name val="Futura UBS Bk"/>
      <family val="2"/>
    </font>
    <font>
      <b/>
      <sz val="10"/>
      <color indexed="8"/>
      <name val="Arial"/>
      <family val="2"/>
    </font>
    <font>
      <i/>
      <sz val="8"/>
      <name val="Times New Roman"/>
      <family val="1"/>
    </font>
    <font>
      <u/>
      <sz val="7.2"/>
      <color indexed="12"/>
      <name val="Arial MT"/>
    </font>
    <font>
      <sz val="10"/>
      <color indexed="40"/>
      <name val="Times New Roman"/>
      <family val="1"/>
    </font>
    <font>
      <sz val="11"/>
      <color indexed="40"/>
      <name val="Times New Roman"/>
      <family val="1"/>
    </font>
    <font>
      <strike/>
      <sz val="10"/>
      <name val="Times New Roman"/>
      <family val="1"/>
    </font>
    <font>
      <sz val="10"/>
      <color rgb="FF000099"/>
      <name val="Times New Roman"/>
      <family val="1"/>
    </font>
    <font>
      <sz val="10"/>
      <color rgb="FF800080"/>
      <name val="Times New Roman"/>
      <family val="1"/>
    </font>
    <font>
      <u/>
      <sz val="10"/>
      <color rgb="FF800080"/>
      <name val="Times New Roman"/>
      <family val="1"/>
    </font>
    <font>
      <b/>
      <sz val="10"/>
      <color indexed="48"/>
      <name val="Times New Roman"/>
      <family val="1"/>
    </font>
    <font>
      <sz val="10"/>
      <color indexed="17"/>
      <name val="Times New Roman"/>
      <family val="1"/>
    </font>
    <font>
      <strike/>
      <sz val="10"/>
      <color indexed="53"/>
      <name val="Times New Roman"/>
      <family val="1"/>
    </font>
    <font>
      <u/>
      <sz val="10"/>
      <color indexed="17"/>
      <name val="Times New Roman"/>
      <family val="1"/>
    </font>
    <font>
      <i/>
      <sz val="10"/>
      <name val="Times New Roman"/>
      <family val="1"/>
    </font>
    <font>
      <b/>
      <sz val="16"/>
      <name val="Times New Roman"/>
      <family val="1"/>
    </font>
    <font>
      <b/>
      <sz val="12"/>
      <name val="Times New Roman"/>
      <family val="1"/>
    </font>
    <font>
      <u/>
      <sz val="12"/>
      <color indexed="12"/>
      <name val="Times New Roman"/>
      <family val="1"/>
    </font>
    <font>
      <sz val="12"/>
      <color rgb="FFFF0000"/>
      <name val="Times New Roman"/>
      <family val="1"/>
    </font>
    <font>
      <sz val="10"/>
      <color theme="1"/>
      <name val="Times New Roman"/>
      <family val="1"/>
    </font>
    <font>
      <sz val="10"/>
      <name val="Arial MT"/>
    </font>
    <font>
      <b/>
      <sz val="10"/>
      <name val="Arial MT"/>
    </font>
    <font>
      <b/>
      <u/>
      <sz val="10"/>
      <name val="Arial MT"/>
    </font>
    <font>
      <u/>
      <sz val="10"/>
      <name val="Arial MT"/>
    </font>
    <font>
      <sz val="10"/>
      <name val="Arial"/>
      <family val="2"/>
    </font>
    <font>
      <b/>
      <u/>
      <sz val="10"/>
      <name val="Times New Roman"/>
      <family val="1"/>
    </font>
    <font>
      <sz val="10"/>
      <color indexed="21"/>
      <name val="Times New Roman"/>
      <family val="1"/>
    </font>
    <font>
      <b/>
      <sz val="10"/>
      <color rgb="FF000099"/>
      <name val="Times New Roman"/>
      <family val="1"/>
    </font>
    <font>
      <sz val="10"/>
      <color rgb="FFFF0000"/>
      <name val="Times New Roman"/>
      <family val="1"/>
    </font>
    <font>
      <b/>
      <sz val="10"/>
      <color rgb="FF0000FF"/>
      <name val="Times New Roman"/>
      <family val="1"/>
    </font>
    <font>
      <b/>
      <sz val="10"/>
      <color indexed="10"/>
      <name val="Times New Roman"/>
      <family val="1"/>
    </font>
    <font>
      <sz val="10"/>
      <color indexed="10"/>
      <name val="Times New Roman"/>
      <family val="1"/>
    </font>
    <font>
      <b/>
      <sz val="10"/>
      <color indexed="12"/>
      <name val="Times New Roman"/>
      <family val="1"/>
    </font>
    <font>
      <b/>
      <i/>
      <sz val="10"/>
      <color indexed="10"/>
      <name val="Times New Roman"/>
      <family val="1"/>
    </font>
    <font>
      <b/>
      <sz val="10"/>
      <color rgb="FFFF0000"/>
      <name val="Times New Roman"/>
      <family val="1"/>
    </font>
    <font>
      <b/>
      <sz val="10"/>
      <color theme="1"/>
      <name val="Times New Roman"/>
      <family val="1"/>
    </font>
    <font>
      <i/>
      <sz val="10"/>
      <color theme="1"/>
      <name val="Times New Roman"/>
      <family val="1"/>
    </font>
    <font>
      <sz val="9.5"/>
      <name val="Times New Roman"/>
      <family val="1"/>
    </font>
  </fonts>
  <fills count="82">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mediumGray">
        <fgColor indexed="22"/>
      </patternFill>
    </fill>
    <fill>
      <patternFill patternType="gray0625"/>
    </fill>
    <fill>
      <patternFill patternType="solid">
        <fgColor indexed="13"/>
        <bgColor indexed="64"/>
      </patternFill>
    </fill>
    <fill>
      <patternFill patternType="solid">
        <fgColor indexed="54"/>
      </patternFill>
    </fill>
    <fill>
      <patternFill patternType="solid">
        <fgColor indexed="9"/>
      </patternFill>
    </fill>
    <fill>
      <patternFill patternType="solid">
        <fgColor indexed="53"/>
        <bgColor indexed="64"/>
      </patternFill>
    </fill>
    <fill>
      <patternFill patternType="solid">
        <fgColor indexed="39"/>
        <bgColor indexed="64"/>
      </patternFill>
    </fill>
    <fill>
      <patternFill patternType="solid">
        <fgColor indexed="9"/>
        <bgColor indexed="64"/>
      </patternFill>
    </fill>
    <fill>
      <patternFill patternType="solid">
        <fgColor indexed="26"/>
        <bgColor indexed="9"/>
      </patternFill>
    </fill>
    <fill>
      <patternFill patternType="solid">
        <fgColor indexed="31"/>
        <bgColor indexed="64"/>
      </patternFill>
    </fill>
    <fill>
      <patternFill patternType="solid">
        <fgColor indexed="35"/>
        <bgColor indexed="64"/>
      </patternFill>
    </fill>
    <fill>
      <patternFill patternType="lightGray"/>
    </fill>
    <fill>
      <patternFill patternType="solid">
        <fgColor indexed="31"/>
        <bgColor indexed="8"/>
      </patternFill>
    </fill>
    <fill>
      <patternFill patternType="solid">
        <fgColor indexed="43"/>
        <bgColor indexed="8"/>
      </patternFill>
    </fill>
    <fill>
      <patternFill patternType="solid">
        <fgColor indexed="42"/>
        <bgColor indexed="64"/>
      </patternFill>
    </fill>
    <fill>
      <patternFill patternType="lightGray">
        <fgColor indexed="38"/>
        <bgColor indexed="23"/>
      </patternFill>
    </fill>
    <fill>
      <patternFill patternType="solid">
        <fgColor theme="1"/>
        <bgColor indexed="64"/>
      </patternFill>
    </fill>
    <fill>
      <patternFill patternType="solid">
        <fgColor rgb="FFCC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CC"/>
        <bgColor indexed="64"/>
      </patternFill>
    </fill>
    <fill>
      <patternFill patternType="solid">
        <fgColor theme="5" tint="0.79998168889431442"/>
        <bgColor indexed="64"/>
      </patternFill>
    </fill>
  </fills>
  <borders count="59">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thick">
        <color indexed="29"/>
      </bottom>
      <diagonal/>
    </border>
    <border>
      <left/>
      <right/>
      <top/>
      <bottom style="medium">
        <color indexed="49"/>
      </bottom>
      <diagonal/>
    </border>
    <border>
      <left/>
      <right/>
      <top/>
      <bottom style="medium">
        <color indexed="29"/>
      </bottom>
      <diagonal/>
    </border>
    <border>
      <left/>
      <right/>
      <top style="thin">
        <color indexed="49"/>
      </top>
      <bottom style="double">
        <color indexed="49"/>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style="thin">
        <color indexed="64"/>
      </left>
      <right/>
      <top/>
      <bottom/>
      <diagonal/>
    </border>
    <border>
      <left/>
      <right style="thin">
        <color indexed="64"/>
      </right>
      <top/>
      <bottom/>
      <diagonal/>
    </border>
    <border>
      <left/>
      <right/>
      <top/>
      <bottom style="hair">
        <color indexed="20"/>
      </bottom>
      <diagonal/>
    </border>
    <border>
      <left style="double">
        <color indexed="12"/>
      </left>
      <right style="double">
        <color indexed="12"/>
      </right>
      <top style="double">
        <color indexed="12"/>
      </top>
      <bottom style="dotted">
        <color indexed="12"/>
      </bottom>
      <diagonal/>
    </border>
    <border>
      <left style="thin">
        <color indexed="22"/>
      </left>
      <right style="thin">
        <color indexed="22"/>
      </right>
      <top/>
      <bottom style="thin">
        <color indexed="22"/>
      </bottom>
      <diagonal/>
    </border>
    <border>
      <left style="thin">
        <color indexed="22"/>
      </left>
      <right style="thin">
        <color indexed="22"/>
      </right>
      <top style="thin">
        <color indexed="64"/>
      </top>
      <bottom style="thin">
        <color indexed="22"/>
      </bottom>
      <diagonal/>
    </border>
    <border>
      <left/>
      <right/>
      <top style="medium">
        <color indexed="39"/>
      </top>
      <bottom/>
      <diagonal/>
    </border>
    <border>
      <left style="medium">
        <color indexed="39"/>
      </left>
      <right/>
      <top style="medium">
        <color indexed="39"/>
      </top>
      <bottom/>
      <diagonal/>
    </border>
    <border>
      <left style="thick">
        <color indexed="12"/>
      </left>
      <right style="thick">
        <color indexed="12"/>
      </right>
      <top style="thick">
        <color indexed="12"/>
      </top>
      <bottom/>
      <diagonal/>
    </border>
    <border>
      <left style="thin">
        <color indexed="22"/>
      </left>
      <right style="thin">
        <color indexed="22"/>
      </right>
      <top style="thin">
        <color indexed="22"/>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s>
  <cellStyleXfs count="4695">
    <xf numFmtId="172" fontId="0" fillId="0" borderId="0" applyProtection="0"/>
    <xf numFmtId="44" fontId="9"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37" fontId="30" fillId="0" borderId="0" applyFont="0" applyFill="0" applyBorder="0" applyAlignment="0" applyProtection="0"/>
    <xf numFmtId="37" fontId="30" fillId="0" borderId="0" applyFont="0" applyFill="0" applyBorder="0" applyAlignment="0" applyProtection="0"/>
    <xf numFmtId="38" fontId="30" fillId="0" borderId="0" applyFont="0" applyFill="0" applyBorder="0" applyAlignment="0" applyProtection="0"/>
    <xf numFmtId="37" fontId="30" fillId="0" borderId="0" applyFont="0" applyFill="0" applyBorder="0" applyAlignment="0" applyProtection="0"/>
    <xf numFmtId="37" fontId="30" fillId="0" borderId="0" applyFont="0" applyFill="0" applyBorder="0" applyAlignment="0" applyProtection="0"/>
    <xf numFmtId="38" fontId="30" fillId="0" borderId="0" applyFont="0" applyFill="0" applyBorder="0" applyAlignment="0" applyProtection="0"/>
    <xf numFmtId="37" fontId="30" fillId="0" borderId="0" applyFont="0" applyFill="0" applyBorder="0" applyAlignment="0" applyProtection="0"/>
    <xf numFmtId="38" fontId="30" fillId="0" borderId="0" applyFont="0" applyFill="0" applyBorder="0" applyAlignment="0" applyProtection="0"/>
    <xf numFmtId="37" fontId="30" fillId="0" borderId="0" applyFont="0" applyFill="0" applyBorder="0" applyAlignment="0" applyProtection="0"/>
    <xf numFmtId="0" fontId="9" fillId="0" borderId="0"/>
    <xf numFmtId="0" fontId="31" fillId="35" borderId="0" applyNumberFormat="0" applyBorder="0" applyAlignment="0" applyProtection="0"/>
    <xf numFmtId="0" fontId="31" fillId="36" borderId="0" applyNumberFormat="0" applyBorder="0" applyAlignment="0" applyProtection="0"/>
    <xf numFmtId="0" fontId="31" fillId="37" borderId="0" applyNumberFormat="0" applyBorder="0" applyAlignment="0" applyProtection="0"/>
    <xf numFmtId="0" fontId="31" fillId="38" borderId="0" applyNumberFormat="0" applyBorder="0" applyAlignment="0" applyProtection="0"/>
    <xf numFmtId="0" fontId="31" fillId="39" borderId="0" applyNumberFormat="0" applyBorder="0" applyAlignment="0" applyProtection="0"/>
    <xf numFmtId="0" fontId="31" fillId="40" borderId="0" applyNumberFormat="0" applyBorder="0" applyAlignment="0" applyProtection="0"/>
    <xf numFmtId="0" fontId="31" fillId="41" borderId="0" applyNumberFormat="0" applyBorder="0" applyAlignment="0" applyProtection="0"/>
    <xf numFmtId="0" fontId="31" fillId="42" borderId="0" applyNumberFormat="0" applyBorder="0" applyAlignment="0" applyProtection="0"/>
    <xf numFmtId="0" fontId="31" fillId="43" borderId="0" applyNumberFormat="0" applyBorder="0" applyAlignment="0" applyProtection="0"/>
    <xf numFmtId="0" fontId="31" fillId="38" borderId="0" applyNumberFormat="0" applyBorder="0" applyAlignment="0" applyProtection="0"/>
    <xf numFmtId="0" fontId="31" fillId="41" borderId="0" applyNumberFormat="0" applyBorder="0" applyAlignment="0" applyProtection="0"/>
    <xf numFmtId="0" fontId="31" fillId="44" borderId="0" applyNumberFormat="0" applyBorder="0" applyAlignment="0" applyProtection="0"/>
    <xf numFmtId="0" fontId="32" fillId="45" borderId="0" applyNumberFormat="0" applyBorder="0" applyAlignment="0" applyProtection="0"/>
    <xf numFmtId="0" fontId="32" fillId="42" borderId="0" applyNumberFormat="0" applyBorder="0" applyAlignment="0" applyProtection="0"/>
    <xf numFmtId="0" fontId="32" fillId="43"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48" borderId="0" applyNumberFormat="0" applyBorder="0" applyAlignment="0" applyProtection="0"/>
    <xf numFmtId="0" fontId="32" fillId="49" borderId="0" applyNumberFormat="0" applyBorder="0" applyAlignment="0" applyProtection="0"/>
    <xf numFmtId="0" fontId="32" fillId="50" borderId="0" applyNumberFormat="0" applyBorder="0" applyAlignment="0" applyProtection="0"/>
    <xf numFmtId="0" fontId="32" fillId="51"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52" borderId="0" applyNumberFormat="0" applyBorder="0" applyAlignment="0" applyProtection="0"/>
    <xf numFmtId="38" fontId="33" fillId="0" borderId="0" applyBorder="0" applyAlignment="0"/>
    <xf numFmtId="175" fontId="29" fillId="53" borderId="16">
      <alignment horizontal="center" vertical="center"/>
    </xf>
    <xf numFmtId="176" fontId="9" fillId="0" borderId="17">
      <alignment horizontal="left"/>
    </xf>
    <xf numFmtId="0" fontId="34" fillId="0" borderId="0"/>
    <xf numFmtId="0" fontId="35" fillId="36" borderId="0" applyNumberFormat="0" applyBorder="0" applyAlignment="0" applyProtection="0"/>
    <xf numFmtId="0" fontId="36" fillId="0" borderId="0" applyNumberFormat="0" applyFill="0" applyBorder="0" applyAlignment="0" applyProtection="0"/>
    <xf numFmtId="177" fontId="37" fillId="0" borderId="1" applyNumberFormat="0" applyFill="0" applyAlignment="0" applyProtection="0">
      <alignment horizontal="center"/>
    </xf>
    <xf numFmtId="178" fontId="37" fillId="0" borderId="3" applyFill="0" applyAlignment="0" applyProtection="0">
      <alignment horizontal="center"/>
    </xf>
    <xf numFmtId="38" fontId="9" fillId="0" borderId="0">
      <alignment horizontal="right"/>
    </xf>
    <xf numFmtId="37" fontId="38" fillId="0" borderId="0" applyFill="0">
      <alignment horizontal="right"/>
    </xf>
    <xf numFmtId="37" fontId="38" fillId="0" borderId="0">
      <alignment horizontal="right"/>
    </xf>
    <xf numFmtId="0" fontId="38" fillId="0" borderId="0" applyFill="0">
      <alignment horizontal="center"/>
    </xf>
    <xf numFmtId="37" fontId="38" fillId="0" borderId="18" applyFill="0">
      <alignment horizontal="right"/>
    </xf>
    <xf numFmtId="37" fontId="38" fillId="0" borderId="0">
      <alignment horizontal="right"/>
    </xf>
    <xf numFmtId="0" fontId="39" fillId="0" borderId="0" applyFill="0">
      <alignment vertical="top"/>
    </xf>
    <xf numFmtId="0" fontId="40" fillId="0" borderId="0" applyFill="0">
      <alignment horizontal="left" vertical="top"/>
    </xf>
    <xf numFmtId="37" fontId="38" fillId="0" borderId="4" applyFill="0">
      <alignment horizontal="right"/>
    </xf>
    <xf numFmtId="0" fontId="9" fillId="0" borderId="0" applyNumberFormat="0" applyFont="0" applyAlignment="0"/>
    <xf numFmtId="0" fontId="39" fillId="0" borderId="0" applyFill="0">
      <alignment wrapText="1"/>
    </xf>
    <xf numFmtId="0" fontId="40" fillId="0" borderId="0" applyFill="0">
      <alignment horizontal="left" vertical="top" wrapText="1"/>
    </xf>
    <xf numFmtId="37" fontId="38" fillId="0" borderId="0" applyFill="0">
      <alignment horizontal="right"/>
    </xf>
    <xf numFmtId="0" fontId="41" fillId="0" borderId="0" applyNumberFormat="0" applyFont="0" applyAlignment="0">
      <alignment horizontal="center"/>
    </xf>
    <xf numFmtId="0" fontId="42" fillId="0" borderId="0" applyFill="0">
      <alignment vertical="top" wrapText="1"/>
    </xf>
    <xf numFmtId="0" fontId="28" fillId="0" borderId="0" applyFill="0">
      <alignment horizontal="left" vertical="top" wrapText="1"/>
    </xf>
    <xf numFmtId="37" fontId="38" fillId="0" borderId="0" applyFill="0">
      <alignment horizontal="right"/>
    </xf>
    <xf numFmtId="0" fontId="41" fillId="0" borderId="0" applyNumberFormat="0" applyFont="0" applyAlignment="0">
      <alignment horizontal="center"/>
    </xf>
    <xf numFmtId="0" fontId="43" fillId="0" borderId="0" applyFill="0">
      <alignment vertical="center" wrapText="1"/>
    </xf>
    <xf numFmtId="0" fontId="27" fillId="0" borderId="0">
      <alignment horizontal="left" vertical="center" wrapText="1"/>
    </xf>
    <xf numFmtId="37" fontId="38" fillId="0" borderId="0" applyFill="0">
      <alignment horizontal="right"/>
    </xf>
    <xf numFmtId="0" fontId="41" fillId="0" borderId="0" applyNumberFormat="0" applyFont="0" applyAlignment="0">
      <alignment horizontal="center"/>
    </xf>
    <xf numFmtId="0" fontId="44" fillId="0" borderId="0" applyFill="0">
      <alignment horizontal="center" vertical="center" wrapText="1"/>
    </xf>
    <xf numFmtId="0" fontId="9" fillId="0" borderId="0" applyFill="0">
      <alignment horizontal="center" vertical="center" wrapText="1"/>
    </xf>
    <xf numFmtId="37" fontId="45" fillId="0" borderId="0" applyFill="0">
      <alignment horizontal="right"/>
    </xf>
    <xf numFmtId="0" fontId="41" fillId="0" borderId="0" applyNumberFormat="0" applyFont="0" applyAlignment="0">
      <alignment horizontal="center"/>
    </xf>
    <xf numFmtId="0" fontId="46" fillId="0" borderId="0" applyFill="0">
      <alignment horizontal="center" vertical="center" wrapText="1"/>
    </xf>
    <xf numFmtId="0" fontId="47" fillId="0" borderId="0" applyFill="0">
      <alignment horizontal="center" vertical="center" wrapText="1"/>
    </xf>
    <xf numFmtId="37" fontId="45" fillId="0" borderId="0" applyFill="0">
      <alignment horizontal="right"/>
    </xf>
    <xf numFmtId="0" fontId="41" fillId="0" borderId="0" applyNumberFormat="0" applyFont="0" applyAlignment="0">
      <alignment horizontal="center"/>
    </xf>
    <xf numFmtId="0" fontId="48" fillId="0" borderId="0">
      <alignment horizontal="center" wrapText="1"/>
    </xf>
    <xf numFmtId="0" fontId="49" fillId="0" borderId="0" applyFill="0">
      <alignment horizontal="center" wrapText="1"/>
    </xf>
    <xf numFmtId="0" fontId="50" fillId="54" borderId="19" applyNumberFormat="0" applyAlignment="0" applyProtection="0"/>
    <xf numFmtId="0" fontId="51" fillId="55" borderId="20" applyNumberFormat="0" applyAlignment="0" applyProtection="0"/>
    <xf numFmtId="179" fontId="30" fillId="0" borderId="0" applyFont="0" applyFill="0" applyBorder="0" applyAlignment="0" applyProtection="0"/>
    <xf numFmtId="43" fontId="7" fillId="0" borderId="0" applyFont="0" applyFill="0" applyBorder="0" applyAlignment="0" applyProtection="0"/>
    <xf numFmtId="43" fontId="52" fillId="0" borderId="0" applyFont="0" applyFill="0" applyBorder="0" applyAlignment="0" applyProtection="0"/>
    <xf numFmtId="0" fontId="53" fillId="0" borderId="0"/>
    <xf numFmtId="44" fontId="9" fillId="0" borderId="0" applyFont="0" applyFill="0" applyBorder="0" applyAlignment="0" applyProtection="0"/>
    <xf numFmtId="180" fontId="9" fillId="0" borderId="17">
      <alignment horizontal="center"/>
    </xf>
    <xf numFmtId="181" fontId="54" fillId="0" borderId="0" applyFont="0" applyFill="0" applyBorder="0" applyAlignment="0" applyProtection="0"/>
    <xf numFmtId="0" fontId="55" fillId="0" borderId="0" applyNumberFormat="0" applyFill="0" applyBorder="0" applyAlignment="0" applyProtection="0"/>
    <xf numFmtId="182" fontId="9" fillId="0" borderId="0">
      <protection locked="0"/>
    </xf>
    <xf numFmtId="0" fontId="56" fillId="0" borderId="0"/>
    <xf numFmtId="0" fontId="57" fillId="0" borderId="0"/>
    <xf numFmtId="0" fontId="58" fillId="0" borderId="0"/>
    <xf numFmtId="0" fontId="59" fillId="37" borderId="0" applyNumberFormat="0" applyBorder="0" applyAlignment="0" applyProtection="0"/>
    <xf numFmtId="38" fontId="38" fillId="56" borderId="0" applyNumberFormat="0" applyBorder="0" applyAlignment="0" applyProtection="0"/>
    <xf numFmtId="0" fontId="60" fillId="0" borderId="0" applyNumberFormat="0" applyFill="0" applyBorder="0" applyAlignment="0" applyProtection="0"/>
    <xf numFmtId="0" fontId="28" fillId="0" borderId="21" applyNumberFormat="0" applyAlignment="0" applyProtection="0">
      <alignment horizontal="left" vertical="center"/>
    </xf>
    <xf numFmtId="0" fontId="28" fillId="0" borderId="15">
      <alignment horizontal="left" vertical="center"/>
    </xf>
    <xf numFmtId="0" fontId="61" fillId="0" borderId="0">
      <alignment horizontal="center"/>
    </xf>
    <xf numFmtId="0" fontId="62" fillId="0" borderId="22" applyNumberFormat="0" applyFill="0" applyAlignment="0" applyProtection="0"/>
    <xf numFmtId="0" fontId="63" fillId="0" borderId="23" applyNumberFormat="0" applyFill="0" applyAlignment="0" applyProtection="0"/>
    <xf numFmtId="0" fontId="64" fillId="0" borderId="24" applyNumberFormat="0" applyFill="0" applyAlignment="0" applyProtection="0"/>
    <xf numFmtId="0" fontId="64" fillId="0" borderId="0" applyNumberFormat="0" applyFill="0" applyBorder="0" applyAlignment="0" applyProtection="0"/>
    <xf numFmtId="183" fontId="9" fillId="0" borderId="0">
      <protection locked="0"/>
    </xf>
    <xf numFmtId="183" fontId="9" fillId="0" borderId="0">
      <protection locked="0"/>
    </xf>
    <xf numFmtId="0" fontId="65" fillId="0" borderId="25" applyNumberFormat="0" applyFill="0" applyAlignment="0" applyProtection="0"/>
    <xf numFmtId="10" fontId="38" fillId="57" borderId="17" applyNumberFormat="0" applyBorder="0" applyAlignment="0" applyProtection="0"/>
    <xf numFmtId="0" fontId="66" fillId="40" borderId="19" applyNumberFormat="0" applyAlignment="0" applyProtection="0"/>
    <xf numFmtId="0" fontId="38" fillId="56" borderId="0"/>
    <xf numFmtId="0" fontId="67" fillId="0" borderId="26" applyNumberFormat="0" applyFill="0" applyAlignment="0" applyProtection="0"/>
    <xf numFmtId="184" fontId="9" fillId="0" borderId="17">
      <alignment horizontal="center"/>
    </xf>
    <xf numFmtId="185" fontId="68" fillId="0" borderId="0"/>
    <xf numFmtId="17" fontId="69" fillId="0" borderId="0">
      <alignment horizontal="center"/>
    </xf>
    <xf numFmtId="186" fontId="9" fillId="0" borderId="0" applyFont="0" applyFill="0" applyBorder="0" applyAlignment="0" applyProtection="0"/>
    <xf numFmtId="187" fontId="9" fillId="0" borderId="0" applyFont="0" applyFill="0" applyBorder="0" applyAlignment="0" applyProtection="0"/>
    <xf numFmtId="0" fontId="70" fillId="58" borderId="0" applyNumberFormat="0" applyBorder="0" applyAlignment="0" applyProtection="0"/>
    <xf numFmtId="43" fontId="71" fillId="0" borderId="0" applyNumberFormat="0" applyFill="0" applyBorder="0" applyAlignment="0" applyProtection="0"/>
    <xf numFmtId="0" fontId="37" fillId="0" borderId="0" applyNumberFormat="0" applyFill="0" applyAlignment="0" applyProtection="0"/>
    <xf numFmtId="37" fontId="72" fillId="0" borderId="0"/>
    <xf numFmtId="188" fontId="73" fillId="0" borderId="0"/>
    <xf numFmtId="172" fontId="10" fillId="0" borderId="0" applyProtection="0"/>
    <xf numFmtId="0" fontId="9" fillId="0" borderId="0"/>
    <xf numFmtId="0" fontId="7" fillId="0" borderId="0"/>
    <xf numFmtId="0" fontId="52" fillId="0" borderId="0"/>
    <xf numFmtId="0" fontId="9" fillId="0" borderId="17">
      <alignment horizontal="center" wrapText="1"/>
    </xf>
    <xf numFmtId="2" fontId="9" fillId="0" borderId="17">
      <alignment horizontal="center"/>
    </xf>
    <xf numFmtId="189" fontId="74" fillId="0" borderId="17" applyFont="0">
      <alignment horizontal="center"/>
    </xf>
    <xf numFmtId="0" fontId="9" fillId="59" borderId="27" applyNumberFormat="0" applyFont="0" applyAlignment="0" applyProtection="0"/>
    <xf numFmtId="1" fontId="9" fillId="0" borderId="17">
      <alignment horizontal="center"/>
    </xf>
    <xf numFmtId="0" fontId="75" fillId="54" borderId="28" applyNumberFormat="0" applyAlignment="0" applyProtection="0"/>
    <xf numFmtId="10" fontId="9" fillId="0" borderId="0" applyFont="0" applyFill="0" applyBorder="0" applyAlignment="0" applyProtection="0"/>
    <xf numFmtId="0" fontId="30" fillId="0" borderId="0" applyNumberFormat="0" applyFont="0" applyFill="0" applyBorder="0" applyAlignment="0" applyProtection="0">
      <alignment horizontal="left"/>
    </xf>
    <xf numFmtId="15" fontId="30" fillId="0" borderId="0" applyFont="0" applyFill="0" applyBorder="0" applyAlignment="0" applyProtection="0"/>
    <xf numFmtId="4" fontId="30" fillId="0" borderId="0" applyFont="0" applyFill="0" applyBorder="0" applyAlignment="0" applyProtection="0"/>
    <xf numFmtId="0" fontId="76" fillId="0" borderId="1">
      <alignment horizontal="center"/>
    </xf>
    <xf numFmtId="3" fontId="30" fillId="0" borderId="0" applyFont="0" applyFill="0" applyBorder="0" applyAlignment="0" applyProtection="0"/>
    <xf numFmtId="0" fontId="30" fillId="60" borderId="0" applyNumberFormat="0" applyFont="0" applyBorder="0" applyAlignment="0" applyProtection="0"/>
    <xf numFmtId="37" fontId="38" fillId="56" borderId="0" applyFill="0">
      <alignment horizontal="right"/>
    </xf>
    <xf numFmtId="0" fontId="45" fillId="0" borderId="0">
      <alignment horizontal="left"/>
    </xf>
    <xf numFmtId="0" fontId="38" fillId="0" borderId="0" applyFill="0">
      <alignment horizontal="left"/>
    </xf>
    <xf numFmtId="37" fontId="38" fillId="0" borderId="3" applyFill="0">
      <alignment horizontal="right"/>
    </xf>
    <xf numFmtId="0" fontId="74" fillId="0" borderId="17" applyNumberFormat="0" applyFont="0" applyBorder="0">
      <alignment horizontal="right"/>
    </xf>
    <xf numFmtId="0" fontId="77" fillId="0" borderId="0" applyFill="0"/>
    <xf numFmtId="0" fontId="38" fillId="0" borderId="0" applyFill="0">
      <alignment horizontal="left"/>
    </xf>
    <xf numFmtId="190" fontId="38" fillId="0" borderId="3" applyFill="0">
      <alignment horizontal="right"/>
    </xf>
    <xf numFmtId="0" fontId="9" fillId="0" borderId="0" applyNumberFormat="0" applyFont="0" applyBorder="0" applyAlignment="0"/>
    <xf numFmtId="0" fontId="42" fillId="0" borderId="0" applyFill="0">
      <alignment horizontal="left" indent="1"/>
    </xf>
    <xf numFmtId="0" fontId="45" fillId="0" borderId="0" applyFill="0">
      <alignment horizontal="left"/>
    </xf>
    <xf numFmtId="37" fontId="38" fillId="0" borderId="0" applyFill="0">
      <alignment horizontal="right"/>
    </xf>
    <xf numFmtId="0" fontId="9" fillId="0" borderId="0" applyNumberFormat="0" applyFont="0" applyFill="0" applyBorder="0" applyAlignment="0"/>
    <xf numFmtId="0" fontId="42" fillId="0" borderId="0" applyFill="0">
      <alignment horizontal="left" indent="2"/>
    </xf>
    <xf numFmtId="0" fontId="38" fillId="0" borderId="0" applyFill="0">
      <alignment horizontal="left"/>
    </xf>
    <xf numFmtId="37" fontId="38" fillId="0" borderId="0" applyFill="0">
      <alignment horizontal="right"/>
    </xf>
    <xf numFmtId="0" fontId="9" fillId="0" borderId="0" applyNumberFormat="0" applyFont="0" applyBorder="0" applyAlignment="0"/>
    <xf numFmtId="0" fontId="78" fillId="0" borderId="0">
      <alignment horizontal="left" indent="3"/>
    </xf>
    <xf numFmtId="0" fontId="38" fillId="0" borderId="0" applyFill="0">
      <alignment horizontal="left"/>
    </xf>
    <xf numFmtId="37" fontId="38" fillId="0" borderId="0" applyFill="0">
      <alignment horizontal="right"/>
    </xf>
    <xf numFmtId="0" fontId="9" fillId="0" borderId="0" applyNumberFormat="0" applyFont="0" applyBorder="0" applyAlignment="0"/>
    <xf numFmtId="0" fontId="44" fillId="0" borderId="0">
      <alignment horizontal="left" indent="4"/>
    </xf>
    <xf numFmtId="0" fontId="38" fillId="0" borderId="0" applyFill="0">
      <alignment horizontal="left"/>
    </xf>
    <xf numFmtId="37" fontId="45" fillId="0" borderId="0" applyFill="0">
      <alignment horizontal="right"/>
    </xf>
    <xf numFmtId="0" fontId="9" fillId="0" borderId="0" applyNumberFormat="0" applyFont="0" applyBorder="0" applyAlignment="0"/>
    <xf numFmtId="0" fontId="46" fillId="0" borderId="0">
      <alignment horizontal="left" indent="5"/>
    </xf>
    <xf numFmtId="0" fontId="45" fillId="0" borderId="0" applyFill="0">
      <alignment horizontal="left"/>
    </xf>
    <xf numFmtId="37" fontId="45" fillId="0" borderId="0" applyFill="0">
      <alignment horizontal="right"/>
    </xf>
    <xf numFmtId="0" fontId="9" fillId="0" borderId="0" applyNumberFormat="0" applyFont="0" applyFill="0" applyBorder="0" applyAlignment="0"/>
    <xf numFmtId="0" fontId="48" fillId="0" borderId="0" applyFill="0">
      <alignment horizontal="left" indent="6"/>
    </xf>
    <xf numFmtId="0" fontId="45" fillId="0" borderId="0" applyFill="0">
      <alignment horizontal="left"/>
    </xf>
    <xf numFmtId="38" fontId="79" fillId="2" borderId="3">
      <alignment horizontal="right"/>
    </xf>
    <xf numFmtId="38" fontId="9" fillId="61" borderId="0" applyNumberFormat="0" applyFont="0" applyBorder="0" applyAlignment="0" applyProtection="0"/>
    <xf numFmtId="0" fontId="80" fillId="0" borderId="0" applyNumberFormat="0" applyAlignment="0">
      <alignment horizontal="centerContinuous"/>
    </xf>
    <xf numFmtId="0" fontId="37" fillId="0" borderId="3" applyNumberFormat="0" applyFill="0" applyAlignment="0" applyProtection="0"/>
    <xf numFmtId="37" fontId="81" fillId="0" borderId="0" applyNumberFormat="0">
      <alignment horizontal="left"/>
    </xf>
    <xf numFmtId="191" fontId="9" fillId="0" borderId="17">
      <alignment horizontal="center" wrapText="1"/>
    </xf>
    <xf numFmtId="38" fontId="30" fillId="0" borderId="0" applyFont="0" applyFill="0" applyBorder="0" applyAlignment="0" applyProtection="0"/>
    <xf numFmtId="38" fontId="30" fillId="0" borderId="0" applyFont="0" applyFill="0" applyBorder="0" applyAlignment="0" applyProtection="0"/>
    <xf numFmtId="0" fontId="9" fillId="0" borderId="0" applyNumberFormat="0" applyFill="0" applyBorder="0" applyProtection="0">
      <alignment horizontal="right" wrapText="1"/>
    </xf>
    <xf numFmtId="192" fontId="9" fillId="0" borderId="0" applyFill="0" applyBorder="0" applyAlignment="0" applyProtection="0">
      <alignment wrapText="1"/>
    </xf>
    <xf numFmtId="37" fontId="82" fillId="0" borderId="0" applyNumberFormat="0">
      <alignment horizontal="left"/>
    </xf>
    <xf numFmtId="37" fontId="83" fillId="0" borderId="0" applyNumberFormat="0">
      <alignment horizontal="left"/>
    </xf>
    <xf numFmtId="37" fontId="84" fillId="0" borderId="0" applyNumberFormat="0">
      <alignment horizontal="left"/>
    </xf>
    <xf numFmtId="185" fontId="85" fillId="0" borderId="0"/>
    <xf numFmtId="40" fontId="86" fillId="0" borderId="0"/>
    <xf numFmtId="0" fontId="87" fillId="0" borderId="0" applyNumberFormat="0" applyFill="0" applyBorder="0" applyAlignment="0" applyProtection="0"/>
    <xf numFmtId="0" fontId="88" fillId="0" borderId="29" applyNumberFormat="0" applyFill="0" applyAlignment="0" applyProtection="0"/>
    <xf numFmtId="37" fontId="38" fillId="2" borderId="0" applyNumberFormat="0" applyBorder="0" applyAlignment="0" applyProtection="0"/>
    <xf numFmtId="37" fontId="38" fillId="0" borderId="0"/>
    <xf numFmtId="3" fontId="89" fillId="0" borderId="25" applyProtection="0"/>
    <xf numFmtId="0" fontId="90" fillId="0" borderId="0" applyNumberForma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91"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91"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91" fillId="20"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91"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91"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91" fillId="32"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91" fillId="13"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91"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91"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91"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91" fillId="29"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91"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14"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92"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92"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92"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3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92"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92"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92"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92"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92"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93"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94" fillId="8" borderId="8" applyNumberFormat="0" applyAlignment="0" applyProtection="0"/>
    <xf numFmtId="0" fontId="20" fillId="64" borderId="8" applyNumberFormat="0" applyAlignment="0" applyProtection="0"/>
    <xf numFmtId="0" fontId="20" fillId="64" borderId="8" applyNumberFormat="0" applyAlignment="0" applyProtection="0"/>
    <xf numFmtId="0" fontId="20" fillId="64" borderId="8" applyNumberFormat="0" applyAlignment="0" applyProtection="0"/>
    <xf numFmtId="0" fontId="20" fillId="64" borderId="8"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95" fillId="9" borderId="11" applyNumberFormat="0" applyAlignment="0" applyProtection="0"/>
    <xf numFmtId="0" fontId="22" fillId="9" borderId="11" applyNumberFormat="0" applyAlignment="0" applyProtection="0"/>
    <xf numFmtId="0" fontId="22" fillId="9" borderId="11" applyNumberFormat="0" applyAlignment="0" applyProtection="0"/>
    <xf numFmtId="0" fontId="22" fillId="9" borderId="11" applyNumberFormat="0" applyAlignment="0" applyProtection="0"/>
    <xf numFmtId="0" fontId="22" fillId="9" borderId="11"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41"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91" fillId="0" borderId="0" applyFont="0" applyFill="0" applyBorder="0" applyAlignment="0" applyProtection="0"/>
    <xf numFmtId="43" fontId="9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9" fillId="0" borderId="0" applyFont="0" applyFill="0" applyBorder="0" applyAlignment="0" applyProtection="0"/>
    <xf numFmtId="44" fontId="9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97"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98"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100"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2" fillId="0" borderId="6" applyNumberFormat="0" applyFill="0" applyAlignment="0" applyProtection="0"/>
    <xf numFmtId="0" fontId="13" fillId="0" borderId="31" applyNumberFormat="0" applyFill="0" applyAlignment="0" applyProtection="0"/>
    <xf numFmtId="0" fontId="13" fillId="0" borderId="31" applyNumberFormat="0" applyFill="0" applyAlignment="0" applyProtection="0"/>
    <xf numFmtId="0" fontId="13" fillId="0" borderId="31" applyNumberFormat="0" applyFill="0" applyAlignment="0" applyProtection="0"/>
    <xf numFmtId="0" fontId="13" fillId="0" borderId="31"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4" fillId="0" borderId="7"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5" fillId="0" borderId="0" applyNumberFormat="0" applyFill="0" applyBorder="0" applyAlignment="0" applyProtection="0">
      <alignment vertical="top"/>
      <protection locked="0"/>
    </xf>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106" fillId="7" borderId="8" applyNumberFormat="0" applyAlignment="0" applyProtection="0"/>
    <xf numFmtId="0" fontId="18" fillId="58" borderId="8" applyNumberFormat="0" applyAlignment="0" applyProtection="0"/>
    <xf numFmtId="0" fontId="18" fillId="58" borderId="8" applyNumberFormat="0" applyAlignment="0" applyProtection="0"/>
    <xf numFmtId="0" fontId="18" fillId="58" borderId="8" applyNumberFormat="0" applyAlignment="0" applyProtection="0"/>
    <xf numFmtId="0" fontId="18" fillId="58" borderId="8"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107" fillId="0" borderId="10" applyNumberFormat="0" applyFill="0" applyAlignment="0" applyProtection="0"/>
    <xf numFmtId="0" fontId="21" fillId="0" borderId="10" applyNumberFormat="0" applyFill="0" applyAlignment="0" applyProtection="0"/>
    <xf numFmtId="0" fontId="21" fillId="0" borderId="10" applyNumberFormat="0" applyFill="0" applyAlignment="0" applyProtection="0"/>
    <xf numFmtId="0" fontId="21" fillId="0" borderId="10" applyNumberFormat="0" applyFill="0" applyAlignment="0" applyProtection="0"/>
    <xf numFmtId="0" fontId="21" fillId="0" borderId="10"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108"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6"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1"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7" fillId="0" borderId="0"/>
    <xf numFmtId="0" fontId="7" fillId="0" borderId="0"/>
    <xf numFmtId="0" fontId="7" fillId="0" borderId="0"/>
    <xf numFmtId="0" fontId="7"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1"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6"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1"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1" fillId="10" borderId="12"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110" fillId="8" borderId="9" applyNumberFormat="0" applyAlignment="0" applyProtection="0"/>
    <xf numFmtId="0" fontId="19" fillId="64" borderId="9" applyNumberFormat="0" applyAlignment="0" applyProtection="0"/>
    <xf numFmtId="0" fontId="19" fillId="64" borderId="9" applyNumberFormat="0" applyAlignment="0" applyProtection="0"/>
    <xf numFmtId="0" fontId="19" fillId="64" borderId="9" applyNumberFormat="0" applyAlignment="0" applyProtection="0"/>
    <xf numFmtId="0" fontId="19" fillId="64" borderId="9"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9" fontId="9" fillId="0" borderId="0" applyFont="0" applyFill="0" applyBorder="0" applyAlignment="0" applyProtection="0"/>
    <xf numFmtId="9" fontId="9" fillId="0" borderId="0" applyFont="0" applyFill="0" applyBorder="0" applyAlignment="0" applyProtection="0"/>
    <xf numFmtId="9" fontId="9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6"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112" fillId="0" borderId="13" applyNumberFormat="0" applyFill="0" applyAlignment="0" applyProtection="0"/>
    <xf numFmtId="0" fontId="25" fillId="0" borderId="13" applyNumberFormat="0" applyFill="0" applyAlignment="0" applyProtection="0"/>
    <xf numFmtId="0" fontId="25" fillId="0" borderId="13" applyNumberFormat="0" applyFill="0" applyAlignment="0" applyProtection="0"/>
    <xf numFmtId="0" fontId="25" fillId="0" borderId="13" applyNumberFormat="0" applyFill="0" applyAlignment="0" applyProtection="0"/>
    <xf numFmtId="0" fontId="25" fillId="0" borderId="13"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11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172" fontId="10" fillId="0" borderId="0" applyProtection="0"/>
    <xf numFmtId="0" fontId="29" fillId="0" borderId="0"/>
    <xf numFmtId="0" fontId="9" fillId="0" borderId="0"/>
    <xf numFmtId="194" fontId="9" fillId="65" borderId="0" applyNumberFormat="0" applyFill="0" applyBorder="0" applyAlignment="0" applyProtection="0">
      <alignment horizontal="right" vertical="center"/>
    </xf>
    <xf numFmtId="194" fontId="65" fillId="0" borderId="0" applyNumberFormat="0" applyFill="0" applyBorder="0" applyAlignment="0" applyProtection="0"/>
    <xf numFmtId="0" fontId="9" fillId="0" borderId="3" applyNumberFormat="0" applyFont="0" applyFill="0" applyAlignment="0" applyProtection="0"/>
    <xf numFmtId="195" fontId="8" fillId="0" borderId="0" applyFont="0" applyFill="0" applyBorder="0" applyAlignment="0" applyProtection="0"/>
    <xf numFmtId="37" fontId="114" fillId="0" borderId="0" applyFont="0" applyFill="0" applyBorder="0" applyAlignment="0" applyProtection="0">
      <alignment vertical="center"/>
      <protection locked="0"/>
    </xf>
    <xf numFmtId="196" fontId="29" fillId="0" borderId="0" applyFont="0" applyFill="0" applyBorder="0" applyAlignment="0" applyProtection="0"/>
    <xf numFmtId="0" fontId="115" fillId="0" borderId="0"/>
    <xf numFmtId="0" fontId="9" fillId="0" borderId="0" applyFill="0">
      <alignment horizontal="center" vertical="center" wrapText="1"/>
    </xf>
    <xf numFmtId="185" fontId="116" fillId="0" borderId="0" applyFont="0" applyFill="0" applyBorder="0" applyAlignment="0" applyProtection="0">
      <protection locked="0"/>
    </xf>
    <xf numFmtId="197" fontId="116" fillId="0" borderId="0" applyFont="0" applyFill="0" applyBorder="0" applyAlignment="0" applyProtection="0">
      <protection locked="0"/>
    </xf>
    <xf numFmtId="39" fontId="9" fillId="0" borderId="0" applyFont="0" applyFill="0" applyBorder="0" applyAlignment="0" applyProtection="0"/>
    <xf numFmtId="198" fontId="117" fillId="0" borderId="0" applyFont="0" applyFill="0" applyBorder="0" applyAlignment="0" applyProtection="0"/>
    <xf numFmtId="199" fontId="29" fillId="0" borderId="0" applyFont="0" applyFill="0" applyBorder="0" applyAlignment="0" applyProtection="0"/>
    <xf numFmtId="0" fontId="9" fillId="0" borderId="3" applyNumberFormat="0" applyFont="0" applyFill="0" applyBorder="0" applyProtection="0">
      <alignment horizontal="centerContinuous" vertical="center"/>
    </xf>
    <xf numFmtId="0" fontId="118" fillId="0" borderId="0" applyFill="0" applyBorder="0" applyProtection="0">
      <alignment horizontal="center"/>
      <protection locked="0"/>
    </xf>
    <xf numFmtId="41" fontId="91" fillId="0" borderId="0" applyFont="0" applyFill="0" applyBorder="0" applyAlignment="0" applyProtection="0"/>
    <xf numFmtId="41" fontId="7" fillId="0" borderId="0" applyFont="0" applyFill="0" applyBorder="0" applyAlignment="0" applyProtection="0"/>
    <xf numFmtId="200" fontId="37" fillId="0" borderId="0" applyFont="0" applyFill="0" applyBorder="0" applyAlignment="0" applyProtection="0"/>
    <xf numFmtId="201" fontId="119" fillId="0" borderId="0" applyFont="0" applyFill="0" applyBorder="0" applyAlignment="0" applyProtection="0"/>
    <xf numFmtId="202" fontId="119" fillId="0" borderId="0" applyFont="0" applyFill="0" applyBorder="0" applyAlignment="0" applyProtection="0"/>
    <xf numFmtId="203" fontId="120" fillId="0" borderId="0" applyFont="0" applyFill="0" applyBorder="0" applyAlignment="0" applyProtection="0">
      <protection locked="0"/>
    </xf>
    <xf numFmtId="3" fontId="9" fillId="0" borderId="0" applyFont="0" applyFill="0" applyBorder="0" applyAlignment="0" applyProtection="0"/>
    <xf numFmtId="0" fontId="40" fillId="0" borderId="0" applyFill="0" applyBorder="0" applyAlignment="0" applyProtection="0">
      <protection locked="0"/>
    </xf>
    <xf numFmtId="0" fontId="9" fillId="0" borderId="35"/>
    <xf numFmtId="204" fontId="119" fillId="0" borderId="0" applyFont="0" applyFill="0" applyBorder="0" applyAlignment="0" applyProtection="0"/>
    <xf numFmtId="205" fontId="119" fillId="0" borderId="0" applyFont="0" applyFill="0" applyBorder="0" applyAlignment="0" applyProtection="0"/>
    <xf numFmtId="206" fontId="119" fillId="0" borderId="0" applyFont="0" applyFill="0" applyBorder="0" applyAlignment="0" applyProtection="0"/>
    <xf numFmtId="207" fontId="120" fillId="0" borderId="0" applyFont="0" applyFill="0" applyBorder="0" applyAlignment="0" applyProtection="0">
      <protection locked="0"/>
    </xf>
    <xf numFmtId="5" fontId="9" fillId="0" borderId="0" applyFont="0" applyFill="0" applyBorder="0" applyAlignment="0" applyProtection="0"/>
    <xf numFmtId="5" fontId="9" fillId="0" borderId="0" applyFont="0" applyFill="0" applyBorder="0" applyAlignment="0" applyProtection="0"/>
    <xf numFmtId="208" fontId="29" fillId="0" borderId="0" applyFont="0" applyFill="0" applyBorder="0" applyAlignment="0" applyProtection="0"/>
    <xf numFmtId="209" fontId="9" fillId="0" borderId="0" applyFont="0" applyFill="0" applyBorder="0" applyAlignment="0" applyProtection="0"/>
    <xf numFmtId="210" fontId="116" fillId="0" borderId="0" applyFont="0" applyFill="0" applyBorder="0" applyAlignment="0" applyProtection="0">
      <protection locked="0"/>
    </xf>
    <xf numFmtId="7" fontId="38" fillId="0" borderId="0" applyFont="0" applyFill="0" applyBorder="0" applyAlignment="0" applyProtection="0"/>
    <xf numFmtId="211" fontId="117" fillId="0" borderId="0" applyFont="0" applyFill="0" applyBorder="0" applyAlignment="0" applyProtection="0"/>
    <xf numFmtId="212" fontId="121" fillId="0" borderId="0" applyFont="0" applyFill="0" applyBorder="0" applyAlignment="0" applyProtection="0"/>
    <xf numFmtId="0" fontId="122" fillId="66" borderId="36" applyNumberFormat="0" applyFont="0" applyFill="0" applyAlignment="0" applyProtection="0">
      <alignment horizontal="left" indent="1"/>
    </xf>
    <xf numFmtId="5" fontId="123" fillId="0" borderId="0" applyBorder="0"/>
    <xf numFmtId="209" fontId="123" fillId="0" borderId="0" applyBorder="0"/>
    <xf numFmtId="7" fontId="123" fillId="0" borderId="0" applyBorder="0"/>
    <xf numFmtId="37" fontId="123" fillId="0" borderId="0" applyBorder="0"/>
    <xf numFmtId="185" fontId="123" fillId="0" borderId="0" applyBorder="0"/>
    <xf numFmtId="213" fontId="123" fillId="0" borderId="0" applyBorder="0"/>
    <xf numFmtId="39" fontId="123" fillId="0" borderId="0" applyBorder="0"/>
    <xf numFmtId="214" fontId="123" fillId="0" borderId="0" applyBorder="0"/>
    <xf numFmtId="7" fontId="9" fillId="0" borderId="0" applyFont="0" applyFill="0" applyBorder="0" applyAlignment="0" applyProtection="0"/>
    <xf numFmtId="215" fontId="29" fillId="0" borderId="0" applyFont="0" applyFill="0" applyBorder="0" applyAlignment="0" applyProtection="0"/>
    <xf numFmtId="216" fontId="29" fillId="0" borderId="0" applyFont="0" applyFill="0" applyAlignment="0" applyProtection="0"/>
    <xf numFmtId="215" fontId="29" fillId="0" borderId="0" applyFont="0" applyFill="0" applyBorder="0" applyAlignment="0" applyProtection="0"/>
    <xf numFmtId="185" fontId="124" fillId="0" borderId="0" applyNumberFormat="0" applyFill="0" applyBorder="0" applyAlignment="0" applyProtection="0"/>
    <xf numFmtId="0" fontId="38" fillId="0" borderId="0" applyFont="0" applyFill="0" applyBorder="0" applyAlignment="0" applyProtection="0"/>
    <xf numFmtId="0" fontId="124" fillId="0" borderId="0" applyNumberFormat="0" applyFill="0" applyBorder="0" applyAlignment="0" applyProtection="0"/>
    <xf numFmtId="0" fontId="118" fillId="0" borderId="0" applyFill="0" applyAlignment="0" applyProtection="0">
      <protection locked="0"/>
    </xf>
    <xf numFmtId="0" fontId="118" fillId="0" borderId="3" applyFill="0" applyAlignment="0" applyProtection="0">
      <protection locked="0"/>
    </xf>
    <xf numFmtId="0" fontId="125" fillId="0" borderId="3" applyNumberFormat="0" applyFill="0" applyAlignment="0" applyProtection="0"/>
    <xf numFmtId="0" fontId="126" fillId="62" borderId="17" applyNumberFormat="0" applyAlignment="0" applyProtection="0"/>
    <xf numFmtId="5" fontId="127" fillId="0" borderId="0" applyBorder="0"/>
    <xf numFmtId="209" fontId="127" fillId="0" borderId="0" applyBorder="0"/>
    <xf numFmtId="7" fontId="127" fillId="0" borderId="0" applyBorder="0"/>
    <xf numFmtId="37" fontId="127" fillId="0" borderId="0" applyBorder="0"/>
    <xf numFmtId="185" fontId="127" fillId="0" borderId="0" applyBorder="0"/>
    <xf numFmtId="213" fontId="127" fillId="0" borderId="0" applyBorder="0"/>
    <xf numFmtId="39" fontId="127" fillId="0" borderId="0" applyBorder="0"/>
    <xf numFmtId="214" fontId="127" fillId="0" borderId="0" applyBorder="0"/>
    <xf numFmtId="0" fontId="128" fillId="0" borderId="37" applyNumberFormat="0" applyFont="0" applyFill="0" applyAlignment="0" applyProtection="0"/>
    <xf numFmtId="217" fontId="9" fillId="0" borderId="0" applyFont="0" applyFill="0" applyBorder="0" applyAlignment="0" applyProtection="0"/>
    <xf numFmtId="218" fontId="9" fillId="0" borderId="0" applyFont="0" applyFill="0" applyBorder="0" applyAlignment="0" applyProtection="0"/>
    <xf numFmtId="219" fontId="9" fillId="0" borderId="0" applyFont="0" applyFill="0" applyBorder="0" applyAlignment="0" applyProtection="0"/>
    <xf numFmtId="220" fontId="9" fillId="0" borderId="0" applyFont="0" applyFill="0" applyBorder="0" applyAlignment="0" applyProtection="0"/>
    <xf numFmtId="221" fontId="9" fillId="0" borderId="0" applyFont="0" applyFill="0" applyBorder="0" applyAlignment="0" applyProtection="0"/>
    <xf numFmtId="0" fontId="9" fillId="0" borderId="0"/>
    <xf numFmtId="222" fontId="9" fillId="0" borderId="0" applyFont="0" applyFill="0" applyBorder="0" applyAlignment="0" applyProtection="0"/>
    <xf numFmtId="223" fontId="96" fillId="67" borderId="0" applyFont="0" applyFill="0" applyBorder="0" applyAlignment="0" applyProtection="0"/>
    <xf numFmtId="224" fontId="96" fillId="67" borderId="0" applyFont="0" applyFill="0" applyBorder="0" applyAlignment="0" applyProtection="0"/>
    <xf numFmtId="225" fontId="9" fillId="0" borderId="0" applyFont="0" applyFill="0" applyBorder="0" applyAlignment="0" applyProtection="0"/>
    <xf numFmtId="226" fontId="119" fillId="0" borderId="0" applyFont="0" applyFill="0" applyBorder="0" applyAlignment="0" applyProtection="0"/>
    <xf numFmtId="227" fontId="37" fillId="0" borderId="0" applyFont="0" applyFill="0" applyBorder="0" applyAlignment="0" applyProtection="0"/>
    <xf numFmtId="228" fontId="9" fillId="0" borderId="0" applyFont="0" applyFill="0" applyBorder="0" applyAlignment="0" applyProtection="0"/>
    <xf numFmtId="229" fontId="119" fillId="0" borderId="0" applyFont="0" applyFill="0" applyBorder="0" applyAlignment="0" applyProtection="0"/>
    <xf numFmtId="230" fontId="37" fillId="0" borderId="0" applyFont="0" applyFill="0" applyBorder="0" applyAlignment="0" applyProtection="0"/>
    <xf numFmtId="231" fontId="119" fillId="0" borderId="0" applyFont="0" applyFill="0" applyBorder="0" applyAlignment="0" applyProtection="0"/>
    <xf numFmtId="232" fontId="37" fillId="0" borderId="0" applyFont="0" applyFill="0" applyBorder="0" applyAlignment="0" applyProtection="0"/>
    <xf numFmtId="233" fontId="119" fillId="0" borderId="0" applyFont="0" applyFill="0" applyBorder="0" applyAlignment="0" applyProtection="0"/>
    <xf numFmtId="234" fontId="37" fillId="0" borderId="0" applyFont="0" applyFill="0" applyBorder="0" applyAlignment="0" applyProtection="0"/>
    <xf numFmtId="235" fontId="120" fillId="0" borderId="0" applyFont="0" applyFill="0" applyBorder="0" applyAlignment="0" applyProtection="0">
      <protection locked="0"/>
    </xf>
    <xf numFmtId="236" fontId="37" fillId="0" borderId="0" applyFont="0" applyFill="0" applyBorder="0" applyAlignment="0" applyProtection="0"/>
    <xf numFmtId="9" fontId="9" fillId="0" borderId="0" applyFont="0" applyFill="0" applyBorder="0" applyAlignment="0" applyProtection="0"/>
    <xf numFmtId="9" fontId="29" fillId="0" borderId="0" applyFont="0" applyFill="0" applyBorder="0" applyAlignment="0" applyProtection="0"/>
    <xf numFmtId="9" fontId="91" fillId="0" borderId="0" applyFont="0" applyFill="0" applyBorder="0" applyAlignment="0" applyProtection="0"/>
    <xf numFmtId="9" fontId="7" fillId="0" borderId="0" applyFont="0" applyFill="0" applyBorder="0" applyAlignment="0" applyProtection="0"/>
    <xf numFmtId="9" fontId="123" fillId="0" borderId="0" applyBorder="0"/>
    <xf numFmtId="237" fontId="123" fillId="0" borderId="0" applyBorder="0"/>
    <xf numFmtId="10" fontId="123" fillId="0" borderId="0" applyBorder="0"/>
    <xf numFmtId="3" fontId="9" fillId="0" borderId="0">
      <alignment horizontal="left" vertical="top"/>
    </xf>
    <xf numFmtId="3" fontId="9" fillId="0" borderId="0">
      <alignment horizontal="right" vertical="top"/>
    </xf>
    <xf numFmtId="0" fontId="9" fillId="0" borderId="0" applyFill="0">
      <alignment horizontal="left" indent="4"/>
    </xf>
    <xf numFmtId="0" fontId="128" fillId="0" borderId="38" applyNumberFormat="0" applyFont="0" applyFill="0" applyAlignment="0" applyProtection="0"/>
    <xf numFmtId="0" fontId="129" fillId="0" borderId="0" applyNumberFormat="0" applyFill="0" applyBorder="0" applyAlignment="0" applyProtection="0"/>
    <xf numFmtId="0" fontId="130" fillId="0" borderId="0"/>
    <xf numFmtId="0" fontId="40" fillId="68" borderId="0"/>
    <xf numFmtId="0" fontId="9" fillId="56" borderId="35" applyNumberFormat="0" applyFont="0" applyAlignment="0"/>
    <xf numFmtId="0" fontId="128" fillId="66" borderId="0" applyNumberFormat="0" applyFont="0" applyBorder="0" applyAlignment="0" applyProtection="0"/>
    <xf numFmtId="223" fontId="131" fillId="0" borderId="15" applyNumberFormat="0" applyFont="0" applyFill="0" applyAlignment="0" applyProtection="0"/>
    <xf numFmtId="0" fontId="132" fillId="0" borderId="0" applyFill="0" applyBorder="0" applyProtection="0">
      <alignment horizontal="left" vertical="top"/>
    </xf>
    <xf numFmtId="0" fontId="9" fillId="0" borderId="4" applyNumberFormat="0" applyFont="0" applyFill="0" applyAlignment="0" applyProtection="0"/>
    <xf numFmtId="0" fontId="133" fillId="0" borderId="0" applyNumberFormat="0" applyFill="0" applyBorder="0" applyAlignment="0" applyProtection="0"/>
    <xf numFmtId="238" fontId="37" fillId="0" borderId="0" applyFont="0" applyFill="0" applyBorder="0" applyAlignment="0" applyProtection="0"/>
    <xf numFmtId="239" fontId="37" fillId="0" borderId="0" applyFont="0" applyFill="0" applyBorder="0" applyAlignment="0" applyProtection="0"/>
    <xf numFmtId="240" fontId="37" fillId="0" borderId="0" applyFont="0" applyFill="0" applyBorder="0" applyAlignment="0" applyProtection="0"/>
    <xf numFmtId="241" fontId="37" fillId="0" borderId="0" applyFont="0" applyFill="0" applyBorder="0" applyAlignment="0" applyProtection="0"/>
    <xf numFmtId="242" fontId="37" fillId="0" borderId="0" applyFont="0" applyFill="0" applyBorder="0" applyAlignment="0" applyProtection="0"/>
    <xf numFmtId="243" fontId="37" fillId="0" borderId="0" applyFont="0" applyFill="0" applyBorder="0" applyAlignment="0" applyProtection="0"/>
    <xf numFmtId="244" fontId="37" fillId="0" borderId="0" applyFont="0" applyFill="0" applyBorder="0" applyAlignment="0" applyProtection="0"/>
    <xf numFmtId="245" fontId="37" fillId="0" borderId="0" applyFont="0" applyFill="0" applyBorder="0" applyAlignment="0" applyProtection="0"/>
    <xf numFmtId="246" fontId="134" fillId="66" borderId="39" applyFont="0" applyFill="0" applyBorder="0" applyAlignment="0" applyProtection="0"/>
    <xf numFmtId="246" fontId="29" fillId="0" borderId="0" applyFont="0" applyFill="0" applyBorder="0" applyAlignment="0" applyProtection="0"/>
    <xf numFmtId="247" fontId="117" fillId="0" borderId="0" applyFont="0" applyFill="0" applyBorder="0" applyAlignment="0" applyProtection="0"/>
    <xf numFmtId="248" fontId="121" fillId="0" borderId="15" applyFont="0" applyFill="0" applyBorder="0" applyAlignment="0" applyProtection="0">
      <alignment horizontal="right"/>
      <protection locked="0"/>
    </xf>
    <xf numFmtId="0" fontId="54" fillId="0" borderId="0">
      <alignment vertical="top"/>
    </xf>
    <xf numFmtId="0" fontId="135" fillId="0" borderId="0"/>
    <xf numFmtId="0" fontId="9" fillId="0" borderId="0" applyNumberFormat="0" applyFill="0" applyBorder="0" applyAlignment="0" applyProtection="0"/>
    <xf numFmtId="0" fontId="9" fillId="0" borderId="0" applyNumberFormat="0" applyFill="0" applyBorder="0" applyAlignment="0" applyProtection="0"/>
    <xf numFmtId="175" fontId="29" fillId="53" borderId="16">
      <alignment horizontal="center" vertical="center"/>
    </xf>
    <xf numFmtId="0" fontId="136" fillId="0" borderId="0" applyNumberFormat="0" applyFont="0" applyFill="0" applyBorder="0" applyProtection="0">
      <alignment vertical="top" wrapText="1"/>
    </xf>
    <xf numFmtId="0" fontId="74" fillId="2" borderId="0" applyNumberFormat="0" applyFont="0" applyAlignment="0">
      <alignment vertical="top"/>
    </xf>
    <xf numFmtId="0" fontId="9" fillId="2" borderId="0" applyNumberFormat="0" applyFont="0" applyAlignment="0">
      <alignment vertical="top" wrapText="1"/>
    </xf>
    <xf numFmtId="249" fontId="132" fillId="0" borderId="37" applyNumberFormat="0" applyFill="0" applyBorder="0" applyAlignment="0" applyProtection="0">
      <alignment horizontal="center"/>
    </xf>
    <xf numFmtId="0" fontId="137" fillId="0" borderId="0"/>
    <xf numFmtId="250" fontId="138" fillId="0" borderId="0">
      <alignment horizontal="center" wrapText="1"/>
    </xf>
    <xf numFmtId="251" fontId="139" fillId="0" borderId="0" applyFont="0" applyFill="0" applyBorder="0" applyAlignment="0" applyProtection="0">
      <alignment vertical="center"/>
    </xf>
    <xf numFmtId="4" fontId="140" fillId="0" borderId="4" applyFont="0" applyFill="0" applyBorder="0" applyAlignment="0">
      <alignment horizontal="center" vertical="center"/>
    </xf>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38" fontId="38" fillId="0" borderId="0">
      <alignment horizontal="right"/>
    </xf>
    <xf numFmtId="252" fontId="136" fillId="0" borderId="0" applyFont="0" applyFill="0" applyBorder="0" applyAlignment="0" applyProtection="0"/>
    <xf numFmtId="0" fontId="141" fillId="0" borderId="0"/>
    <xf numFmtId="253" fontId="142" fillId="0" borderId="0">
      <protection locked="0"/>
    </xf>
    <xf numFmtId="171" fontId="29" fillId="0" borderId="0" applyFont="0" applyFill="0" applyBorder="0" applyAlignment="0" applyProtection="0"/>
    <xf numFmtId="171"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134" fillId="0" borderId="0"/>
    <xf numFmtId="254" fontId="27" fillId="0" borderId="0">
      <protection locked="0"/>
    </xf>
    <xf numFmtId="44" fontId="139" fillId="0" borderId="0" applyFont="0" applyFill="0" applyBorder="0" applyAlignment="0" applyProtection="0"/>
    <xf numFmtId="255" fontId="139"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256" fontId="9" fillId="0" borderId="0" applyFont="0" applyFill="0" applyBorder="0" applyAlignment="0" applyProtection="0">
      <alignment wrapText="1"/>
    </xf>
    <xf numFmtId="256" fontId="9" fillId="0" borderId="0" applyFont="0" applyFill="0" applyBorder="0" applyAlignment="0" applyProtection="0">
      <alignment wrapText="1"/>
    </xf>
    <xf numFmtId="16" fontId="38" fillId="0" borderId="0">
      <alignment horizontal="right"/>
    </xf>
    <xf numFmtId="15" fontId="38" fillId="0" borderId="0">
      <alignment horizontal="right"/>
    </xf>
    <xf numFmtId="257" fontId="8" fillId="0" borderId="0"/>
    <xf numFmtId="182" fontId="9" fillId="0" borderId="0">
      <protection locked="0"/>
    </xf>
    <xf numFmtId="182" fontId="9" fillId="0" borderId="0">
      <protection locked="0"/>
    </xf>
    <xf numFmtId="0" fontId="143" fillId="0" borderId="0" applyNumberFormat="0" applyFill="0" applyBorder="0" applyAlignment="0" applyProtection="0"/>
    <xf numFmtId="38" fontId="38" fillId="56" borderId="0" applyNumberFormat="0" applyBorder="0" applyAlignment="0" applyProtection="0"/>
    <xf numFmtId="183" fontId="9" fillId="0" borderId="0">
      <protection locked="0"/>
    </xf>
    <xf numFmtId="183" fontId="9" fillId="0" borderId="0">
      <protection locked="0"/>
    </xf>
    <xf numFmtId="183" fontId="9" fillId="0" borderId="0">
      <protection locked="0"/>
    </xf>
    <xf numFmtId="183" fontId="9" fillId="0" borderId="0">
      <protection locked="0"/>
    </xf>
    <xf numFmtId="10" fontId="38" fillId="57" borderId="17" applyNumberFormat="0" applyBorder="0" applyAlignment="0" applyProtection="0"/>
    <xf numFmtId="258" fontId="27" fillId="0" borderId="0">
      <alignment horizontal="center"/>
      <protection locked="0"/>
    </xf>
    <xf numFmtId="259" fontId="9" fillId="0" borderId="0" applyFont="0" applyFill="0" applyBorder="0" applyAlignment="0" applyProtection="0"/>
    <xf numFmtId="260" fontId="9" fillId="0" borderId="0" applyFont="0" applyFill="0" applyBorder="0" applyAlignment="0" applyProtection="0"/>
    <xf numFmtId="261" fontId="29" fillId="0" borderId="0"/>
    <xf numFmtId="37" fontId="144" fillId="0" borderId="0"/>
    <xf numFmtId="0" fontId="9" fillId="0" borderId="0"/>
    <xf numFmtId="0" fontId="7" fillId="0" borderId="0"/>
    <xf numFmtId="0" fontId="7" fillId="0" borderId="0"/>
    <xf numFmtId="0" fontId="7" fillId="0" borderId="0"/>
    <xf numFmtId="0" fontId="7" fillId="0" borderId="0"/>
    <xf numFmtId="0" fontId="7" fillId="0" borderId="0"/>
    <xf numFmtId="0" fontId="9" fillId="0" borderId="0"/>
    <xf numFmtId="0" fontId="9" fillId="0" borderId="0"/>
    <xf numFmtId="0" fontId="9" fillId="0" borderId="0"/>
    <xf numFmtId="0" fontId="9" fillId="0" borderId="0"/>
    <xf numFmtId="0" fontId="9" fillId="0" borderId="0"/>
    <xf numFmtId="0" fontId="54"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1" fillId="0" borderId="0"/>
    <xf numFmtId="262" fontId="9" fillId="0" borderId="0"/>
    <xf numFmtId="262" fontId="9" fillId="0" borderId="0"/>
    <xf numFmtId="263" fontId="13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146" fillId="0" borderId="40"/>
    <xf numFmtId="174" fontId="134" fillId="0" borderId="0"/>
    <xf numFmtId="3" fontId="45" fillId="0" borderId="41" applyBorder="0">
      <alignment horizontal="right" wrapText="1"/>
    </xf>
    <xf numFmtId="4" fontId="45" fillId="0" borderId="42" applyBorder="0">
      <alignment horizontal="right" wrapText="1"/>
    </xf>
    <xf numFmtId="0" fontId="9" fillId="69" borderId="28" applyNumberFormat="0" applyProtection="0">
      <alignment horizontal="left" vertical="center" indent="1"/>
    </xf>
    <xf numFmtId="4" fontId="54" fillId="70" borderId="28" applyNumberFormat="0" applyProtection="0">
      <alignment horizontal="right" vertical="center"/>
    </xf>
    <xf numFmtId="0" fontId="9" fillId="69" borderId="28" applyNumberFormat="0" applyProtection="0">
      <alignment horizontal="left" vertical="center" indent="1"/>
    </xf>
    <xf numFmtId="0" fontId="9" fillId="69" borderId="28" applyNumberFormat="0" applyProtection="0">
      <alignment horizontal="left" vertical="center" indent="1"/>
    </xf>
    <xf numFmtId="0" fontId="136" fillId="71" borderId="0" applyNumberFormat="0" applyFont="0" applyBorder="0" applyAlignment="0" applyProtection="0"/>
    <xf numFmtId="0" fontId="136" fillId="61" borderId="0" applyNumberFormat="0" applyFont="0" applyBorder="0" applyAlignment="0" applyProtection="0"/>
    <xf numFmtId="0" fontId="136" fillId="1" borderId="0" applyNumberFormat="0" applyFont="0" applyBorder="0" applyAlignment="0" applyProtection="0"/>
    <xf numFmtId="264" fontId="136" fillId="0" borderId="0" applyFont="0" applyFill="0" applyBorder="0" applyAlignment="0" applyProtection="0"/>
    <xf numFmtId="265" fontId="136" fillId="0" borderId="0" applyFont="0" applyFill="0" applyBorder="0" applyAlignment="0" applyProtection="0"/>
    <xf numFmtId="266" fontId="136" fillId="0" borderId="0" applyFont="0" applyFill="0" applyBorder="0" applyAlignment="0" applyProtection="0"/>
    <xf numFmtId="0" fontId="74" fillId="72" borderId="43" applyNumberFormat="0" applyProtection="0">
      <alignment horizontal="center" wrapText="1"/>
    </xf>
    <xf numFmtId="0" fontId="74" fillId="72" borderId="43" applyNumberFormat="0" applyProtection="0">
      <alignment horizontal="center" wrapText="1"/>
    </xf>
    <xf numFmtId="0" fontId="74" fillId="72" borderId="44" applyNumberFormat="0" applyAlignment="0" applyProtection="0">
      <alignment wrapText="1"/>
    </xf>
    <xf numFmtId="0" fontId="74" fillId="72" borderId="44" applyNumberFormat="0" applyAlignment="0" applyProtection="0">
      <alignment wrapText="1"/>
    </xf>
    <xf numFmtId="0" fontId="9" fillId="73" borderId="0" applyNumberFormat="0" applyBorder="0">
      <alignment horizontal="center" wrapText="1"/>
    </xf>
    <xf numFmtId="0" fontId="9" fillId="73" borderId="0" applyNumberFormat="0" applyBorder="0">
      <alignment horizontal="center" wrapText="1"/>
    </xf>
    <xf numFmtId="0" fontId="9" fillId="73" borderId="0" applyNumberFormat="0" applyBorder="0">
      <alignment wrapText="1"/>
    </xf>
    <xf numFmtId="0" fontId="9" fillId="73" borderId="0" applyNumberFormat="0" applyBorder="0">
      <alignment wrapText="1"/>
    </xf>
    <xf numFmtId="0" fontId="9" fillId="0" borderId="0" applyNumberFormat="0" applyFill="0" applyBorder="0" applyProtection="0">
      <alignment horizontal="right" wrapText="1"/>
    </xf>
    <xf numFmtId="0" fontId="9" fillId="0" borderId="0" applyNumberFormat="0" applyFill="0" applyBorder="0" applyProtection="0">
      <alignment horizontal="right" wrapText="1"/>
    </xf>
    <xf numFmtId="267" fontId="9" fillId="0" borderId="0" applyFill="0" applyBorder="0" applyAlignment="0" applyProtection="0">
      <alignment wrapText="1"/>
    </xf>
    <xf numFmtId="267" fontId="9" fillId="0" borderId="0" applyFill="0" applyBorder="0" applyAlignment="0" applyProtection="0">
      <alignment wrapText="1"/>
    </xf>
    <xf numFmtId="192" fontId="9" fillId="0" borderId="0" applyFill="0" applyBorder="0" applyAlignment="0" applyProtection="0">
      <alignment wrapText="1"/>
    </xf>
    <xf numFmtId="268" fontId="9" fillId="0" borderId="0" applyFill="0" applyBorder="0" applyAlignment="0" applyProtection="0">
      <alignment wrapText="1"/>
    </xf>
    <xf numFmtId="0" fontId="9" fillId="0" borderId="0" applyNumberFormat="0" applyFill="0" applyBorder="0" applyProtection="0">
      <alignment horizontal="right" wrapText="1"/>
    </xf>
    <xf numFmtId="0" fontId="9" fillId="0" borderId="0" applyNumberFormat="0" applyFill="0" applyBorder="0" applyProtection="0">
      <alignment horizontal="right" wrapText="1"/>
    </xf>
    <xf numFmtId="0" fontId="9" fillId="0" borderId="0" applyNumberFormat="0" applyFill="0" applyBorder="0">
      <alignment horizontal="right" wrapText="1"/>
    </xf>
    <xf numFmtId="0" fontId="9" fillId="0" borderId="0" applyNumberFormat="0" applyFill="0" applyBorder="0">
      <alignment horizontal="right" wrapText="1"/>
    </xf>
    <xf numFmtId="17" fontId="9" fillId="0" borderId="0" applyFill="0" applyBorder="0">
      <alignment horizontal="right" wrapText="1"/>
    </xf>
    <xf numFmtId="17" fontId="9" fillId="0" borderId="0" applyFill="0" applyBorder="0">
      <alignment horizontal="right" wrapText="1"/>
    </xf>
    <xf numFmtId="8" fontId="9" fillId="0" borderId="0" applyFill="0" applyBorder="0" applyAlignment="0" applyProtection="0">
      <alignment wrapText="1"/>
    </xf>
    <xf numFmtId="8" fontId="9" fillId="0" borderId="0" applyFill="0" applyBorder="0" applyAlignment="0" applyProtection="0">
      <alignment wrapText="1"/>
    </xf>
    <xf numFmtId="0" fontId="28" fillId="0" borderId="0" applyNumberFormat="0" applyFill="0" applyBorder="0">
      <alignment horizontal="left" wrapText="1"/>
    </xf>
    <xf numFmtId="0" fontId="28" fillId="0" borderId="0" applyNumberFormat="0" applyFill="0" applyBorder="0">
      <alignment horizontal="left" wrapText="1"/>
    </xf>
    <xf numFmtId="0" fontId="74" fillId="0" borderId="0" applyNumberFormat="0" applyFill="0" applyBorder="0">
      <alignment horizontal="center" wrapText="1"/>
    </xf>
    <xf numFmtId="0" fontId="74" fillId="0" borderId="0" applyNumberFormat="0" applyFill="0" applyBorder="0">
      <alignment horizontal="center" wrapText="1"/>
    </xf>
    <xf numFmtId="0" fontId="74" fillId="0" borderId="0" applyNumberFormat="0" applyFill="0" applyBorder="0">
      <alignment horizontal="center" wrapText="1"/>
    </xf>
    <xf numFmtId="0" fontId="74" fillId="0" borderId="0" applyNumberFormat="0" applyFill="0" applyBorder="0">
      <alignment horizontal="center" wrapText="1"/>
    </xf>
    <xf numFmtId="0" fontId="147" fillId="0" borderId="45"/>
    <xf numFmtId="0" fontId="148" fillId="0" borderId="0">
      <alignment horizontal="centerContinuous" vertical="center" wrapText="1"/>
    </xf>
    <xf numFmtId="0" fontId="136" fillId="0" borderId="0" applyNumberFormat="0" applyFont="0" applyFill="0" applyBorder="0" applyProtection="0">
      <alignment horizontal="center" wrapText="1"/>
    </xf>
    <xf numFmtId="0" fontId="136" fillId="0" borderId="0" applyNumberFormat="0" applyFont="0" applyFill="0" applyBorder="0" applyProtection="0">
      <alignment horizontal="centerContinuous" vertical="center" wrapText="1"/>
    </xf>
    <xf numFmtId="0" fontId="9" fillId="0" borderId="0"/>
    <xf numFmtId="0" fontId="9" fillId="0" borderId="0"/>
    <xf numFmtId="269" fontId="9" fillId="0" borderId="0">
      <alignment wrapText="1"/>
    </xf>
    <xf numFmtId="269" fontId="9" fillId="0" borderId="0">
      <alignment wrapText="1"/>
    </xf>
    <xf numFmtId="270" fontId="9" fillId="0" borderId="0">
      <alignment wrapText="1"/>
    </xf>
    <xf numFmtId="270" fontId="9" fillId="0" borderId="0">
      <alignment wrapText="1"/>
    </xf>
    <xf numFmtId="37" fontId="38" fillId="2" borderId="0" applyNumberFormat="0" applyBorder="0" applyAlignment="0" applyProtection="0"/>
    <xf numFmtId="37" fontId="38" fillId="0" borderId="0"/>
    <xf numFmtId="0" fontId="149" fillId="0" borderId="0"/>
    <xf numFmtId="0" fontId="136" fillId="0" borderId="0" applyNumberFormat="0" applyFont="0" applyFill="0" applyBorder="0" applyProtection="0"/>
    <xf numFmtId="0" fontId="136" fillId="0" borderId="0" applyNumberFormat="0" applyFont="0" applyFill="0" applyBorder="0" applyProtection="0">
      <alignment vertical="center"/>
    </xf>
    <xf numFmtId="0" fontId="136" fillId="0" borderId="0" applyNumberFormat="0" applyFont="0" applyFill="0" applyBorder="0" applyProtection="0">
      <alignment vertical="top"/>
    </xf>
    <xf numFmtId="0" fontId="136" fillId="0" borderId="0" applyNumberFormat="0" applyFont="0" applyFill="0" applyBorder="0" applyProtection="0">
      <alignment wrapText="1"/>
    </xf>
    <xf numFmtId="0" fontId="150" fillId="0" borderId="0"/>
    <xf numFmtId="0" fontId="150" fillId="0" borderId="0"/>
    <xf numFmtId="43" fontId="150" fillId="0" borderId="0" applyFont="0" applyFill="0" applyBorder="0" applyAlignment="0" applyProtection="0"/>
    <xf numFmtId="0" fontId="145" fillId="0" borderId="0"/>
    <xf numFmtId="172" fontId="151" fillId="0" borderId="0" applyNumberFormat="0" applyFill="0" applyBorder="0" applyAlignment="0" applyProtection="0"/>
    <xf numFmtId="9" fontId="6" fillId="0" borderId="0" applyFont="0" applyFill="0" applyBorder="0" applyAlignment="0" applyProtection="0"/>
    <xf numFmtId="0" fontId="9" fillId="0" borderId="0"/>
    <xf numFmtId="43" fontId="9" fillId="0" borderId="0" applyFont="0" applyFill="0" applyBorder="0" applyAlignment="0" applyProtection="0"/>
    <xf numFmtId="272" fontId="152" fillId="0" borderId="0" applyFont="0" applyFill="0" applyBorder="0" applyAlignment="0" applyProtection="0"/>
    <xf numFmtId="273" fontId="152" fillId="0" borderId="0" applyFont="0" applyFill="0" applyBorder="0" applyAlignment="0" applyProtection="0"/>
    <xf numFmtId="274" fontId="152" fillId="0" borderId="0" applyFont="0" applyFill="0" applyBorder="0" applyAlignment="0" applyProtection="0"/>
    <xf numFmtId="275" fontId="152" fillId="0" borderId="0" applyFont="0" applyFill="0" applyBorder="0" applyAlignment="0" applyProtection="0"/>
    <xf numFmtId="276" fontId="152" fillId="0" borderId="0" applyFont="0" applyFill="0" applyBorder="0" applyAlignment="0" applyProtection="0"/>
    <xf numFmtId="277" fontId="152" fillId="0" borderId="0" applyFont="0" applyFill="0" applyBorder="0" applyAlignment="0" applyProtection="0"/>
    <xf numFmtId="0" fontId="96" fillId="0" borderId="0"/>
    <xf numFmtId="278" fontId="152" fillId="0" borderId="0" applyFont="0" applyFill="0" applyBorder="0" applyProtection="0">
      <alignment horizontal="left"/>
    </xf>
    <xf numFmtId="279" fontId="152" fillId="0" borderId="0" applyFont="0" applyFill="0" applyBorder="0" applyProtection="0">
      <alignment horizontal="left"/>
    </xf>
    <xf numFmtId="280" fontId="152" fillId="0" borderId="0" applyFont="0" applyFill="0" applyBorder="0" applyProtection="0">
      <alignment horizontal="left"/>
    </xf>
    <xf numFmtId="0" fontId="115" fillId="0" borderId="0"/>
    <xf numFmtId="0" fontId="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281" fontId="15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4" fillId="0" borderId="0" applyFont="0" applyFill="0" applyBorder="0" applyAlignment="0" applyProtection="0"/>
    <xf numFmtId="37" fontId="71" fillId="0" borderId="0" applyFill="0" applyBorder="0" applyAlignment="0" applyProtection="0"/>
    <xf numFmtId="282" fontId="152" fillId="0" borderId="0" applyFont="0" applyFill="0" applyBorder="0" applyAlignment="0" applyProtection="0"/>
    <xf numFmtId="283" fontId="152" fillId="0" borderId="0" applyFont="0" applyFill="0" applyBorder="0" applyAlignment="0" applyProtection="0"/>
    <xf numFmtId="5" fontId="71" fillId="0" borderId="0" applyFill="0" applyBorder="0" applyAlignment="0" applyProtection="0"/>
    <xf numFmtId="284" fontId="152" fillId="0" borderId="0" applyFont="0" applyFill="0" applyBorder="0" applyProtection="0"/>
    <xf numFmtId="285" fontId="152" fillId="0" borderId="0" applyFont="0" applyFill="0" applyBorder="0" applyProtection="0"/>
    <xf numFmtId="286" fontId="152" fillId="0" borderId="0" applyFont="0" applyFill="0" applyBorder="0" applyAlignment="0" applyProtection="0"/>
    <xf numFmtId="287" fontId="152" fillId="0" borderId="0" applyFont="0" applyFill="0" applyBorder="0" applyAlignment="0" applyProtection="0"/>
    <xf numFmtId="288" fontId="152" fillId="0" borderId="0" applyFont="0" applyFill="0" applyBorder="0" applyAlignment="0" applyProtection="0"/>
    <xf numFmtId="289" fontId="128" fillId="0" borderId="0" applyFont="0" applyFill="0" applyBorder="0" applyAlignment="0" applyProtection="0"/>
    <xf numFmtId="0" fontId="153" fillId="0" borderId="0"/>
    <xf numFmtId="0" fontId="152" fillId="0" borderId="0" applyFont="0" applyFill="0" applyBorder="0" applyProtection="0">
      <alignment horizontal="center" wrapText="1"/>
    </xf>
    <xf numFmtId="290" fontId="152" fillId="0" borderId="0" applyFont="0" applyFill="0" applyBorder="0" applyProtection="0">
      <alignment horizontal="right"/>
    </xf>
    <xf numFmtId="291" fontId="152" fillId="0" borderId="0" applyFont="0" applyFill="0" applyBorder="0" applyProtection="0">
      <alignment horizontal="left"/>
    </xf>
    <xf numFmtId="292" fontId="152" fillId="0" borderId="0" applyFont="0" applyFill="0" applyBorder="0" applyProtection="0">
      <alignment horizontal="left"/>
    </xf>
    <xf numFmtId="293" fontId="152" fillId="0" borderId="0" applyFont="0" applyFill="0" applyBorder="0" applyProtection="0">
      <alignment horizontal="left"/>
    </xf>
    <xf numFmtId="294" fontId="152" fillId="0" borderId="0" applyFont="0" applyFill="0" applyBorder="0" applyProtection="0">
      <alignment horizontal="left"/>
    </xf>
    <xf numFmtId="0" fontId="154" fillId="0" borderId="0"/>
    <xf numFmtId="0" fontId="9" fillId="0" borderId="0" applyFont="0" applyFill="0" applyBorder="0" applyAlignment="0" applyProtection="0">
      <alignment horizontal="right"/>
    </xf>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applyProtection="0"/>
    <xf numFmtId="172" fontId="10" fillId="0" borderId="0" applyProtection="0"/>
    <xf numFmtId="172" fontId="10" fillId="0" borderId="0" applyProtection="0"/>
    <xf numFmtId="0" fontId="9" fillId="0" borderId="0"/>
    <xf numFmtId="0" fontId="8" fillId="75" borderId="0" applyNumberFormat="0" applyFont="0" applyBorder="0" applyAlignment="0"/>
    <xf numFmtId="295" fontId="155" fillId="0" borderId="0"/>
    <xf numFmtId="222" fontId="9" fillId="0" borderId="0" applyFont="0" applyFill="0" applyBorder="0" applyAlignment="0" applyProtection="0"/>
    <xf numFmtId="222" fontId="9" fillId="0" borderId="0" applyFont="0" applyFill="0" applyBorder="0" applyAlignment="0" applyProtection="0"/>
    <xf numFmtId="222" fontId="9" fillId="0" borderId="0" applyFont="0" applyFill="0" applyBorder="0" applyAlignment="0" applyProtection="0"/>
    <xf numFmtId="296" fontId="9" fillId="0" borderId="0"/>
    <xf numFmtId="297" fontId="29" fillId="0" borderId="0"/>
    <xf numFmtId="297" fontId="29" fillId="0" borderId="0"/>
    <xf numFmtId="295" fontId="155" fillId="0" borderId="0"/>
    <xf numFmtId="0" fontId="29" fillId="0" borderId="0"/>
    <xf numFmtId="295" fontId="71" fillId="0" borderId="0"/>
    <xf numFmtId="296" fontId="9" fillId="0" borderId="0"/>
    <xf numFmtId="297" fontId="29" fillId="0" borderId="0"/>
    <xf numFmtId="297" fontId="29" fillId="0" borderId="0"/>
    <xf numFmtId="0" fontId="29" fillId="0" borderId="0"/>
    <xf numFmtId="0" fontId="29" fillId="0" borderId="0"/>
    <xf numFmtId="298" fontId="29" fillId="0" borderId="0"/>
    <xf numFmtId="170" fontId="29" fillId="0" borderId="0"/>
    <xf numFmtId="299" fontId="29" fillId="0" borderId="0"/>
    <xf numFmtId="298" fontId="29" fillId="0" borderId="0"/>
    <xf numFmtId="170" fontId="29" fillId="0" borderId="0"/>
    <xf numFmtId="268" fontId="29" fillId="0" borderId="0"/>
    <xf numFmtId="268" fontId="29" fillId="0" borderId="0"/>
    <xf numFmtId="300" fontId="29" fillId="0" borderId="0"/>
    <xf numFmtId="299" fontId="29" fillId="0" borderId="0"/>
    <xf numFmtId="169" fontId="29" fillId="0" borderId="0"/>
    <xf numFmtId="300" fontId="29" fillId="0" borderId="0"/>
    <xf numFmtId="300" fontId="29" fillId="0" borderId="0"/>
    <xf numFmtId="0" fontId="29" fillId="0" borderId="0"/>
    <xf numFmtId="222" fontId="9" fillId="0" borderId="0" applyFont="0" applyFill="0" applyBorder="0" applyAlignment="0" applyProtection="0"/>
    <xf numFmtId="222" fontId="9" fillId="0" borderId="0" applyFont="0" applyFill="0" applyBorder="0" applyAlignment="0" applyProtection="0"/>
    <xf numFmtId="222" fontId="9" fillId="0" borderId="0" applyFont="0" applyFill="0" applyBorder="0" applyAlignment="0" applyProtection="0"/>
    <xf numFmtId="295" fontId="155" fillId="0" borderId="0"/>
    <xf numFmtId="295" fontId="155" fillId="0" borderId="0"/>
    <xf numFmtId="222" fontId="9" fillId="0" borderId="0" applyFont="0" applyFill="0" applyBorder="0" applyAlignment="0" applyProtection="0"/>
    <xf numFmtId="295" fontId="155" fillId="0" borderId="0"/>
    <xf numFmtId="295" fontId="155" fillId="0" borderId="0"/>
    <xf numFmtId="298" fontId="29" fillId="0" borderId="0"/>
    <xf numFmtId="170" fontId="29" fillId="0" borderId="0"/>
    <xf numFmtId="299" fontId="29" fillId="0" borderId="0"/>
    <xf numFmtId="298" fontId="29" fillId="0" borderId="0"/>
    <xf numFmtId="170" fontId="29" fillId="0" borderId="0"/>
    <xf numFmtId="268" fontId="29" fillId="0" borderId="0"/>
    <xf numFmtId="268" fontId="29" fillId="0" borderId="0"/>
    <xf numFmtId="300" fontId="29" fillId="0" borderId="0"/>
    <xf numFmtId="299" fontId="29" fillId="0" borderId="0"/>
    <xf numFmtId="169" fontId="29" fillId="0" borderId="0"/>
    <xf numFmtId="300" fontId="29" fillId="0" borderId="0"/>
    <xf numFmtId="300" fontId="29" fillId="0" borderId="0"/>
    <xf numFmtId="301" fontId="152" fillId="0" borderId="0" applyFont="0" applyFill="0" applyBorder="0" applyAlignment="0" applyProtection="0"/>
    <xf numFmtId="302" fontId="152" fillId="0" borderId="0" applyFont="0" applyFill="0" applyBorder="0" applyAlignment="0" applyProtection="0"/>
    <xf numFmtId="9" fontId="3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194" fontId="71" fillId="0" borderId="0" applyFill="0" applyBorder="0" applyAlignment="0" applyProtection="0"/>
    <xf numFmtId="0" fontId="130" fillId="0" borderId="0"/>
    <xf numFmtId="0" fontId="156" fillId="0" borderId="1">
      <alignment horizontal="right"/>
    </xf>
    <xf numFmtId="303" fontId="121" fillId="0" borderId="0">
      <alignment horizontal="center"/>
    </xf>
    <xf numFmtId="304" fontId="157" fillId="0" borderId="0">
      <alignment horizontal="center"/>
    </xf>
    <xf numFmtId="0" fontId="54" fillId="0" borderId="0" applyNumberFormat="0" applyBorder="0" applyAlignment="0"/>
    <xf numFmtId="0" fontId="158" fillId="0" borderId="0" applyNumberFormat="0" applyBorder="0" applyAlignment="0"/>
    <xf numFmtId="0" fontId="159" fillId="0" borderId="0" applyAlignment="0">
      <alignment horizontal="centerContinuous"/>
    </xf>
    <xf numFmtId="0" fontId="160" fillId="0" borderId="0" applyNumberFormat="0" applyFill="0" applyBorder="0" applyAlignment="0" applyProtection="0">
      <alignment vertical="top"/>
      <protection locked="0"/>
    </xf>
    <xf numFmtId="172" fontId="10" fillId="0" borderId="0" applyProtection="0"/>
    <xf numFmtId="43" fontId="10" fillId="0" borderId="0" applyFont="0" applyFill="0" applyBorder="0" applyAlignment="0" applyProtection="0"/>
    <xf numFmtId="9" fontId="10" fillId="0" borderId="0" applyFont="0" applyFill="0" applyBorder="0" applyAlignment="0" applyProtection="0"/>
    <xf numFmtId="37" fontId="10" fillId="0" borderId="0" applyFont="0" applyFill="0" applyBorder="0" applyAlignment="0" applyProtection="0"/>
    <xf numFmtId="172" fontId="10" fillId="0" borderId="0" applyProtection="0"/>
    <xf numFmtId="172" fontId="10" fillId="0" borderId="0" applyProtection="0"/>
    <xf numFmtId="0" fontId="9" fillId="0" borderId="0"/>
    <xf numFmtId="0" fontId="181" fillId="0" borderId="0"/>
    <xf numFmtId="44" fontId="9" fillId="0" borderId="0" applyFont="0" applyFill="0" applyBorder="0" applyAlignment="0" applyProtection="0"/>
    <xf numFmtId="0" fontId="4" fillId="0" borderId="0"/>
    <xf numFmtId="0" fontId="27" fillId="0" borderId="0">
      <alignment vertical="top"/>
    </xf>
    <xf numFmtId="0" fontId="3" fillId="0" borderId="0"/>
    <xf numFmtId="172" fontId="10" fillId="0" borderId="0" applyProtection="0"/>
    <xf numFmtId="9" fontId="3" fillId="0" borderId="0" applyFont="0" applyFill="0" applyBorder="0" applyAlignment="0" applyProtection="0"/>
    <xf numFmtId="43" fontId="3" fillId="0" borderId="0" applyFont="0" applyFill="0" applyBorder="0" applyAlignment="0" applyProtection="0"/>
    <xf numFmtId="0" fontId="9" fillId="0" borderId="0"/>
    <xf numFmtId="0" fontId="3" fillId="0" borderId="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1" fillId="0" borderId="0"/>
  </cellStyleXfs>
  <cellXfs count="838">
    <xf numFmtId="172" fontId="0" fillId="0" borderId="0" xfId="0"/>
    <xf numFmtId="0" fontId="161" fillId="0" borderId="0" xfId="0" applyNumberFormat="1" applyFont="1" applyAlignment="1">
      <alignment horizontal="center"/>
    </xf>
    <xf numFmtId="172" fontId="29" fillId="0" borderId="0" xfId="0" applyFont="1"/>
    <xf numFmtId="0" fontId="29" fillId="0" borderId="0" xfId="4598" applyFont="1"/>
    <xf numFmtId="172" fontId="37" fillId="0" borderId="0" xfId="0" applyFont="1"/>
    <xf numFmtId="0" fontId="29" fillId="0" borderId="0" xfId="0" applyNumberFormat="1" applyFont="1" applyAlignment="1">
      <alignment horizontal="center"/>
    </xf>
    <xf numFmtId="172" fontId="29" fillId="0" borderId="0" xfId="0" applyFont="1" applyAlignment="1">
      <alignment horizontal="right"/>
    </xf>
    <xf numFmtId="0" fontId="121" fillId="0" borderId="0" xfId="4598" applyFont="1" applyAlignment="1">
      <alignment horizontal="centerContinuous"/>
    </xf>
    <xf numFmtId="0" fontId="121" fillId="0" borderId="17" xfId="4598" applyFont="1" applyBorder="1" applyAlignment="1">
      <alignment horizontal="center"/>
    </xf>
    <xf numFmtId="0" fontId="29" fillId="0" borderId="0" xfId="0" applyNumberFormat="1" applyFont="1" applyAlignment="1">
      <alignment horizontal="center" wrapText="1"/>
    </xf>
    <xf numFmtId="0" fontId="121" fillId="0" borderId="0" xfId="4598" applyFont="1" applyAlignment="1">
      <alignment horizontal="center" wrapText="1"/>
    </xf>
    <xf numFmtId="172" fontId="121" fillId="0" borderId="0" xfId="0" applyFont="1" applyAlignment="1">
      <alignment horizontal="center" wrapText="1"/>
    </xf>
    <xf numFmtId="172" fontId="29" fillId="0" borderId="0" xfId="0" applyFont="1" applyAlignment="1">
      <alignment wrapText="1"/>
    </xf>
    <xf numFmtId="0" fontId="121" fillId="0" borderId="0" xfId="4598" applyFont="1" applyAlignment="1">
      <alignment horizontal="center"/>
    </xf>
    <xf numFmtId="0" fontId="121" fillId="0" borderId="0" xfId="4595" applyFont="1" applyAlignment="1">
      <alignment horizontal="center" wrapText="1"/>
    </xf>
    <xf numFmtId="172" fontId="162" fillId="0" borderId="0" xfId="0" applyFont="1"/>
    <xf numFmtId="172" fontId="161" fillId="0" borderId="0" xfId="0" applyFont="1"/>
    <xf numFmtId="0" fontId="29" fillId="0" borderId="0" xfId="4598" applyFont="1" applyAlignment="1">
      <alignment horizontal="left"/>
    </xf>
    <xf numFmtId="0" fontId="29" fillId="0" borderId="0" xfId="4598" quotePrefix="1" applyFont="1" applyAlignment="1">
      <alignment horizontal="left"/>
    </xf>
    <xf numFmtId="41" fontId="29" fillId="2" borderId="0" xfId="4598" applyNumberFormat="1" applyFont="1" applyFill="1"/>
    <xf numFmtId="0" fontId="29" fillId="0" borderId="0" xfId="4598" applyFont="1" applyAlignment="1">
      <alignment horizontal="right"/>
    </xf>
    <xf numFmtId="174" fontId="29" fillId="0" borderId="14" xfId="190" applyNumberFormat="1" applyFont="1" applyBorder="1"/>
    <xf numFmtId="37" fontId="29" fillId="0" borderId="0" xfId="4598" applyNumberFormat="1" applyFont="1"/>
    <xf numFmtId="172" fontId="29" fillId="0" borderId="0" xfId="4596" applyFont="1"/>
    <xf numFmtId="0" fontId="121" fillId="0" borderId="0" xfId="4598" applyFont="1" applyAlignment="1">
      <alignment horizontal="centerContinuous" wrapText="1"/>
    </xf>
    <xf numFmtId="41" fontId="29" fillId="76" borderId="0" xfId="4598" applyNumberFormat="1" applyFont="1" applyFill="1"/>
    <xf numFmtId="43" fontId="29" fillId="0" borderId="14" xfId="190" applyFont="1" applyBorder="1"/>
    <xf numFmtId="172" fontId="29" fillId="0" borderId="0" xfId="0" applyFont="1" applyAlignment="1">
      <alignment horizontal="center"/>
    </xf>
    <xf numFmtId="44" fontId="29" fillId="0" borderId="0" xfId="0" applyNumberFormat="1" applyFont="1"/>
    <xf numFmtId="0" fontId="29" fillId="0" borderId="0" xfId="4157" applyFont="1"/>
    <xf numFmtId="0" fontId="29" fillId="0" borderId="0" xfId="4157" applyFont="1" applyAlignment="1">
      <alignment horizontal="center"/>
    </xf>
    <xf numFmtId="3" fontId="29" fillId="0" borderId="0" xfId="4157" applyNumberFormat="1" applyFont="1" applyAlignment="1">
      <alignment horizontal="center" wrapText="1"/>
    </xf>
    <xf numFmtId="0" fontId="29" fillId="0" borderId="0" xfId="4157" applyFont="1" applyAlignment="1">
      <alignment horizontal="center" wrapText="1"/>
    </xf>
    <xf numFmtId="0" fontId="29" fillId="3" borderId="0" xfId="4157" applyFont="1" applyFill="1"/>
    <xf numFmtId="174" fontId="29" fillId="3" borderId="0" xfId="190" applyNumberFormat="1" applyFont="1" applyFill="1" applyBorder="1" applyAlignment="1">
      <alignment horizontal="center"/>
    </xf>
    <xf numFmtId="174" fontId="29" fillId="0" borderId="0" xfId="190" applyNumberFormat="1" applyFont="1" applyFill="1" applyBorder="1" applyAlignment="1">
      <alignment horizontal="center" wrapText="1"/>
    </xf>
    <xf numFmtId="174" fontId="29" fillId="3" borderId="0" xfId="190" applyNumberFormat="1" applyFont="1" applyFill="1" applyBorder="1"/>
    <xf numFmtId="172" fontId="161" fillId="3" borderId="0" xfId="0" applyFont="1" applyFill="1"/>
    <xf numFmtId="0" fontId="29" fillId="3" borderId="3" xfId="4157" applyFont="1" applyFill="1" applyBorder="1"/>
    <xf numFmtId="174" fontId="29" fillId="3" borderId="3" xfId="190" applyNumberFormat="1" applyFont="1" applyFill="1" applyBorder="1"/>
    <xf numFmtId="174" fontId="29" fillId="3" borderId="3" xfId="190" applyNumberFormat="1" applyFont="1" applyFill="1" applyBorder="1" applyAlignment="1">
      <alignment horizontal="center"/>
    </xf>
    <xf numFmtId="172" fontId="161" fillId="3" borderId="3" xfId="0" applyFont="1" applyFill="1" applyBorder="1"/>
    <xf numFmtId="174" fontId="29" fillId="0" borderId="3" xfId="190" applyNumberFormat="1" applyFont="1" applyFill="1" applyBorder="1" applyAlignment="1">
      <alignment horizontal="center" wrapText="1"/>
    </xf>
    <xf numFmtId="174" fontId="29" fillId="0" borderId="0" xfId="190" applyNumberFormat="1" applyFont="1" applyFill="1" applyBorder="1"/>
    <xf numFmtId="0" fontId="163" fillId="0" borderId="0" xfId="0" applyNumberFormat="1" applyFont="1" applyAlignment="1">
      <alignment horizontal="center"/>
    </xf>
    <xf numFmtId="172" fontId="163" fillId="0" borderId="0" xfId="0" applyFont="1" applyAlignment="1">
      <alignment horizontal="center"/>
    </xf>
    <xf numFmtId="44" fontId="163" fillId="0" borderId="0" xfId="0" applyNumberFormat="1" applyFont="1"/>
    <xf numFmtId="172" fontId="29" fillId="0" borderId="0" xfId="0" applyFont="1" applyAlignment="1">
      <alignment vertical="center" wrapText="1"/>
    </xf>
    <xf numFmtId="172" fontId="29" fillId="0" borderId="0" xfId="0" applyFont="1" applyAlignment="1">
      <alignment vertical="center"/>
    </xf>
    <xf numFmtId="0" fontId="29" fillId="0" borderId="0" xfId="0" applyNumberFormat="1" applyFont="1" applyAlignment="1">
      <alignment horizontal="center" vertical="top"/>
    </xf>
    <xf numFmtId="0" fontId="29" fillId="0" borderId="0" xfId="4228" applyFont="1" applyAlignment="1">
      <alignment vertical="top"/>
    </xf>
    <xf numFmtId="3" fontId="29" fillId="0" borderId="0" xfId="4228" applyNumberFormat="1" applyFont="1"/>
    <xf numFmtId="3" fontId="29" fillId="0" borderId="0" xfId="4597" applyNumberFormat="1" applyFont="1"/>
    <xf numFmtId="0" fontId="29" fillId="0" borderId="0" xfId="4597" applyNumberFormat="1" applyFont="1" applyAlignment="1" applyProtection="1">
      <alignment horizontal="center"/>
      <protection locked="0"/>
    </xf>
    <xf numFmtId="0" fontId="29" fillId="0" borderId="0" xfId="4597" applyNumberFormat="1" applyFont="1"/>
    <xf numFmtId="174" fontId="29" fillId="0" borderId="0" xfId="190" applyNumberFormat="1" applyFont="1" applyAlignment="1"/>
    <xf numFmtId="43" fontId="29" fillId="0" borderId="0" xfId="190" applyFont="1" applyAlignment="1">
      <alignment horizontal="center"/>
    </xf>
    <xf numFmtId="0" fontId="29" fillId="0" borderId="0" xfId="4595" applyFont="1"/>
    <xf numFmtId="3" fontId="29" fillId="0" borderId="0" xfId="4595" applyNumberFormat="1" applyFont="1"/>
    <xf numFmtId="174" fontId="29" fillId="0" borderId="0" xfId="190" applyNumberFormat="1" applyFont="1" applyFill="1" applyBorder="1" applyAlignment="1"/>
    <xf numFmtId="174" fontId="29" fillId="0" borderId="0" xfId="190" applyNumberFormat="1" applyFont="1" applyBorder="1" applyAlignment="1"/>
    <xf numFmtId="172" fontId="29" fillId="0" borderId="0" xfId="4597" applyFont="1"/>
    <xf numFmtId="164" fontId="29" fillId="0" borderId="0" xfId="4597" applyNumberFormat="1" applyFont="1" applyAlignment="1">
      <alignment horizontal="center"/>
    </xf>
    <xf numFmtId="174" fontId="29" fillId="0" borderId="0" xfId="190" applyNumberFormat="1" applyFont="1" applyFill="1" applyAlignment="1"/>
    <xf numFmtId="174" fontId="29" fillId="0" borderId="1" xfId="190" applyNumberFormat="1" applyFont="1" applyFill="1" applyBorder="1" applyAlignment="1"/>
    <xf numFmtId="271" fontId="29" fillId="0" borderId="0" xfId="190" applyNumberFormat="1" applyFont="1" applyFill="1" applyAlignment="1"/>
    <xf numFmtId="271" fontId="29" fillId="0" borderId="0" xfId="190" applyNumberFormat="1" applyFont="1" applyAlignment="1"/>
    <xf numFmtId="271" fontId="29" fillId="0" borderId="0" xfId="190" applyNumberFormat="1" applyFont="1" applyBorder="1" applyAlignment="1"/>
    <xf numFmtId="174" fontId="29" fillId="0" borderId="1" xfId="190" applyNumberFormat="1" applyFont="1" applyBorder="1" applyAlignment="1"/>
    <xf numFmtId="3" fontId="29" fillId="0" borderId="0" xfId="4597" quotePrefix="1" applyNumberFormat="1" applyFont="1" applyAlignment="1">
      <alignment horizontal="left"/>
    </xf>
    <xf numFmtId="174" fontId="29" fillId="0" borderId="14" xfId="190" applyNumberFormat="1" applyFont="1" applyFill="1" applyBorder="1" applyAlignment="1"/>
    <xf numFmtId="0" fontId="29" fillId="0" borderId="0" xfId="0" applyNumberFormat="1" applyFont="1" applyProtection="1">
      <protection locked="0"/>
    </xf>
    <xf numFmtId="174" fontId="29" fillId="0" borderId="50" xfId="190" applyNumberFormat="1" applyFont="1" applyFill="1" applyBorder="1" applyAlignment="1"/>
    <xf numFmtId="174" fontId="164" fillId="3" borderId="0" xfId="190" applyNumberFormat="1" applyFont="1" applyFill="1" applyAlignment="1"/>
    <xf numFmtId="0" fontId="29" fillId="0" borderId="0" xfId="4595" applyFont="1" applyAlignment="1" applyProtection="1">
      <alignment horizontal="center"/>
      <protection locked="0"/>
    </xf>
    <xf numFmtId="3" fontId="29" fillId="0" borderId="0" xfId="4597" applyNumberFormat="1" applyFont="1" applyAlignment="1">
      <alignment horizontal="left"/>
    </xf>
    <xf numFmtId="10" fontId="29" fillId="0" borderId="0" xfId="4597" applyNumberFormat="1" applyFont="1" applyAlignment="1">
      <alignment horizontal="left"/>
    </xf>
    <xf numFmtId="174" fontId="29" fillId="0" borderId="2" xfId="190" applyNumberFormat="1" applyFont="1" applyFill="1" applyBorder="1" applyAlignment="1"/>
    <xf numFmtId="0" fontId="29" fillId="0" borderId="0" xfId="0" applyNumberFormat="1" applyFont="1" applyAlignment="1" applyProtection="1">
      <alignment horizontal="center"/>
      <protection locked="0"/>
    </xf>
    <xf numFmtId="0" fontId="29" fillId="0" borderId="0" xfId="0" applyNumberFormat="1" applyFont="1" applyAlignment="1" applyProtection="1">
      <alignment horizontal="center" vertical="top"/>
      <protection locked="0"/>
    </xf>
    <xf numFmtId="0" fontId="29" fillId="0" borderId="0" xfId="0" applyNumberFormat="1" applyFont="1" applyAlignment="1" applyProtection="1">
      <alignment vertical="center"/>
      <protection locked="0"/>
    </xf>
    <xf numFmtId="172" fontId="29" fillId="0" borderId="0" xfId="0" applyFont="1" applyAlignment="1">
      <alignment horizontal="center" vertical="top"/>
    </xf>
    <xf numFmtId="0" fontId="29" fillId="0" borderId="0" xfId="4664" applyNumberFormat="1" applyFont="1"/>
    <xf numFmtId="0" fontId="165" fillId="0" borderId="0" xfId="0" applyNumberFormat="1" applyFont="1" applyProtection="1">
      <protection locked="0"/>
    </xf>
    <xf numFmtId="3" fontId="165" fillId="0" borderId="0" xfId="0" applyNumberFormat="1" applyFont="1"/>
    <xf numFmtId="0" fontId="165" fillId="0" borderId="0" xfId="0" applyNumberFormat="1" applyFont="1" applyAlignment="1" applyProtection="1">
      <alignment horizontal="center" vertical="top"/>
      <protection locked="0"/>
    </xf>
    <xf numFmtId="0" fontId="165" fillId="0" borderId="0" xfId="4597" applyNumberFormat="1" applyFont="1" applyAlignment="1" applyProtection="1">
      <alignment vertical="top" wrapText="1"/>
      <protection locked="0"/>
    </xf>
    <xf numFmtId="0" fontId="165" fillId="0" borderId="0" xfId="0" applyNumberFormat="1" applyFont="1" applyAlignment="1" applyProtection="1">
      <alignment vertical="top"/>
      <protection locked="0"/>
    </xf>
    <xf numFmtId="0" fontId="166" fillId="0" borderId="0" xfId="0" applyNumberFormat="1" applyFont="1" applyProtection="1">
      <protection locked="0"/>
    </xf>
    <xf numFmtId="172" fontId="165" fillId="0" borderId="0" xfId="0" applyFont="1"/>
    <xf numFmtId="172" fontId="165" fillId="0" borderId="0" xfId="0" applyFont="1" applyAlignment="1">
      <alignment horizontal="center"/>
    </xf>
    <xf numFmtId="0" fontId="165" fillId="0" borderId="0" xfId="4228" applyFont="1" applyAlignment="1">
      <alignment vertical="top" wrapText="1"/>
    </xf>
    <xf numFmtId="0" fontId="165" fillId="0" borderId="0" xfId="0" applyNumberFormat="1" applyFont="1"/>
    <xf numFmtId="172" fontId="165" fillId="0" borderId="0" xfId="0" applyFont="1" applyAlignment="1">
      <alignment horizontal="center" vertical="top"/>
    </xf>
    <xf numFmtId="0" fontId="165" fillId="0" borderId="0" xfId="4664" applyNumberFormat="1" applyFont="1"/>
    <xf numFmtId="172" fontId="165" fillId="0" borderId="0" xfId="4664" applyFont="1" applyAlignment="1">
      <alignment horizontal="center"/>
    </xf>
    <xf numFmtId="172" fontId="165" fillId="0" borderId="0" xfId="0" applyFont="1" applyAlignment="1">
      <alignment vertical="top" wrapText="1"/>
    </xf>
    <xf numFmtId="0" fontId="165" fillId="0" borderId="0" xfId="4228" applyFont="1" applyAlignment="1">
      <alignment vertical="top"/>
    </xf>
    <xf numFmtId="0" fontId="165" fillId="0" borderId="0" xfId="4597" applyNumberFormat="1" applyFont="1" applyAlignment="1" applyProtection="1">
      <alignment vertical="top"/>
      <protection locked="0"/>
    </xf>
    <xf numFmtId="170" fontId="165" fillId="0" borderId="0" xfId="4597" applyNumberFormat="1" applyFont="1" applyAlignment="1" applyProtection="1">
      <alignment vertical="top"/>
    </xf>
    <xf numFmtId="3" fontId="165" fillId="0" borderId="0" xfId="4597" applyNumberFormat="1" applyFont="1" applyAlignment="1" applyProtection="1">
      <alignment vertical="top"/>
    </xf>
    <xf numFmtId="172" fontId="165" fillId="0" borderId="0" xfId="0" applyFont="1" applyAlignment="1">
      <alignment vertical="top"/>
    </xf>
    <xf numFmtId="0" fontId="165" fillId="0" borderId="0" xfId="2138" applyFont="1" applyAlignment="1">
      <alignment vertical="center"/>
    </xf>
    <xf numFmtId="172" fontId="29" fillId="0" borderId="0" xfId="0" applyFont="1" applyProtection="1">
      <protection locked="0"/>
    </xf>
    <xf numFmtId="0" fontId="29" fillId="0" borderId="0" xfId="0" applyNumberFormat="1" applyFont="1" applyAlignment="1" applyProtection="1">
      <alignment horizontal="left"/>
      <protection locked="0"/>
    </xf>
    <xf numFmtId="0" fontId="29" fillId="0" borderId="0" xfId="0" applyNumberFormat="1" applyFont="1" applyAlignment="1" applyProtection="1">
      <alignment horizontal="right"/>
      <protection locked="0"/>
    </xf>
    <xf numFmtId="0" fontId="29" fillId="2" borderId="0" xfId="0" applyNumberFormat="1" applyFont="1" applyFill="1" applyAlignment="1" applyProtection="1">
      <alignment horizontal="right"/>
      <protection locked="0"/>
    </xf>
    <xf numFmtId="3" fontId="29" fillId="0" borderId="0" xfId="0" applyNumberFormat="1" applyFont="1" applyProtection="1">
      <protection locked="0"/>
    </xf>
    <xf numFmtId="3" fontId="29" fillId="0" borderId="0" xfId="0" applyNumberFormat="1" applyFont="1" applyAlignment="1" applyProtection="1">
      <alignment horizontal="center"/>
      <protection locked="0"/>
    </xf>
    <xf numFmtId="49" fontId="121" fillId="0" borderId="0" xfId="0" applyNumberFormat="1" applyFont="1" applyAlignment="1" applyProtection="1">
      <alignment horizontal="center"/>
      <protection locked="0"/>
    </xf>
    <xf numFmtId="49" fontId="29" fillId="0" borderId="0" xfId="0" applyNumberFormat="1" applyFont="1" applyProtection="1">
      <protection locked="0"/>
    </xf>
    <xf numFmtId="0" fontId="29" fillId="0" borderId="1" xfId="0" applyNumberFormat="1" applyFont="1" applyBorder="1" applyAlignment="1" applyProtection="1">
      <alignment horizontal="center"/>
      <protection locked="0"/>
    </xf>
    <xf numFmtId="42" fontId="29" fillId="0" borderId="0" xfId="0" applyNumberFormat="1" applyFont="1" applyProtection="1"/>
    <xf numFmtId="0" fontId="29" fillId="0" borderId="1" xfId="0" applyNumberFormat="1" applyFont="1" applyBorder="1" applyAlignment="1" applyProtection="1">
      <alignment horizontal="centerContinuous"/>
      <protection locked="0"/>
    </xf>
    <xf numFmtId="166" fontId="29" fillId="0" borderId="0" xfId="0" applyNumberFormat="1" applyFont="1" applyProtection="1"/>
    <xf numFmtId="3" fontId="29" fillId="0" borderId="0" xfId="0" applyNumberFormat="1" applyFont="1" applyProtection="1"/>
    <xf numFmtId="3" fontId="164" fillId="2" borderId="0" xfId="0" applyNumberFormat="1" applyFont="1" applyFill="1" applyProtection="1">
      <protection locked="0"/>
    </xf>
    <xf numFmtId="3" fontId="29" fillId="0" borderId="0" xfId="0" applyNumberFormat="1" applyFont="1" applyAlignment="1" applyProtection="1">
      <alignment horizontal="fill"/>
      <protection locked="0"/>
    </xf>
    <xf numFmtId="166" fontId="29" fillId="0" borderId="0" xfId="0" applyNumberFormat="1" applyFont="1" applyProtection="1">
      <protection locked="0"/>
    </xf>
    <xf numFmtId="42" fontId="29" fillId="0" borderId="14" xfId="0" applyNumberFormat="1" applyFont="1" applyBorder="1" applyAlignment="1" applyProtection="1">
      <alignment horizontal="right"/>
    </xf>
    <xf numFmtId="42" fontId="29" fillId="0" borderId="0" xfId="0" applyNumberFormat="1" applyFont="1" applyAlignment="1" applyProtection="1">
      <alignment horizontal="right"/>
      <protection locked="0"/>
    </xf>
    <xf numFmtId="0" fontId="29" fillId="0" borderId="0" xfId="0" applyNumberFormat="1" applyFont="1" applyAlignment="1" applyProtection="1">
      <alignment horizontal="right"/>
    </xf>
    <xf numFmtId="172" fontId="121" fillId="0" borderId="0" xfId="0" applyFont="1" applyAlignment="1" applyProtection="1">
      <alignment horizontal="center"/>
    </xf>
    <xf numFmtId="49" fontId="29" fillId="0" borderId="0" xfId="0" applyNumberFormat="1" applyFont="1" applyAlignment="1" applyProtection="1">
      <alignment horizontal="left"/>
      <protection locked="0"/>
    </xf>
    <xf numFmtId="49" fontId="29" fillId="0" borderId="0" xfId="0" applyNumberFormat="1" applyFont="1" applyAlignment="1" applyProtection="1">
      <alignment horizontal="center"/>
      <protection locked="0"/>
    </xf>
    <xf numFmtId="3" fontId="121" fillId="0" borderId="0" xfId="0" applyNumberFormat="1" applyFont="1" applyAlignment="1" applyProtection="1">
      <alignment horizontal="center"/>
      <protection locked="0"/>
    </xf>
    <xf numFmtId="0" fontId="121" fillId="0" borderId="0" xfId="0" applyNumberFormat="1" applyFont="1" applyAlignment="1" applyProtection="1">
      <alignment horizontal="center"/>
      <protection locked="0"/>
    </xf>
    <xf numFmtId="172" fontId="121" fillId="0" borderId="0" xfId="0" applyFont="1" applyAlignment="1" applyProtection="1">
      <alignment horizontal="center"/>
      <protection locked="0"/>
    </xf>
    <xf numFmtId="3" fontId="121" fillId="0" borderId="0" xfId="0" applyNumberFormat="1" applyFont="1" applyProtection="1">
      <protection locked="0"/>
    </xf>
    <xf numFmtId="0" fontId="121" fillId="0" borderId="0" xfId="0" applyNumberFormat="1" applyFont="1" applyProtection="1">
      <protection locked="0"/>
    </xf>
    <xf numFmtId="165" fontId="29" fillId="0" borderId="0" xfId="0" applyNumberFormat="1" applyFont="1" applyProtection="1">
      <protection locked="0"/>
    </xf>
    <xf numFmtId="165" fontId="29" fillId="0" borderId="0" xfId="0" applyNumberFormat="1" applyFont="1" applyProtection="1"/>
    <xf numFmtId="164" fontId="29" fillId="0" borderId="0" xfId="0" applyNumberFormat="1" applyFont="1" applyAlignment="1" applyProtection="1">
      <alignment horizontal="center"/>
    </xf>
    <xf numFmtId="164" fontId="29" fillId="0" borderId="0" xfId="0" applyNumberFormat="1" applyFont="1" applyAlignment="1" applyProtection="1">
      <alignment horizontal="center"/>
      <protection locked="0"/>
    </xf>
    <xf numFmtId="0" fontId="29" fillId="0" borderId="0" xfId="0" applyNumberFormat="1" applyFont="1" applyProtection="1"/>
    <xf numFmtId="172" fontId="29" fillId="0" borderId="1" xfId="0" applyFont="1" applyBorder="1" applyProtection="1">
      <protection locked="0"/>
    </xf>
    <xf numFmtId="172" fontId="29" fillId="0" borderId="0" xfId="0" applyFont="1" applyProtection="1"/>
    <xf numFmtId="171" fontId="29" fillId="0" borderId="0" xfId="0" applyNumberFormat="1" applyFont="1" applyAlignment="1" applyProtection="1">
      <alignment horizontal="left"/>
    </xf>
    <xf numFmtId="166" fontId="29" fillId="0" borderId="0" xfId="0" applyNumberFormat="1" applyFont="1" applyAlignment="1" applyProtection="1">
      <alignment horizontal="right"/>
      <protection locked="0"/>
    </xf>
    <xf numFmtId="166" fontId="29" fillId="0" borderId="0" xfId="0" applyNumberFormat="1" applyFont="1" applyAlignment="1" applyProtection="1">
      <alignment horizontal="center"/>
      <protection locked="0"/>
    </xf>
    <xf numFmtId="164" fontId="29" fillId="0" borderId="0" xfId="0" applyNumberFormat="1" applyFont="1" applyAlignment="1" applyProtection="1">
      <alignment horizontal="left"/>
      <protection locked="0"/>
    </xf>
    <xf numFmtId="10" fontId="29" fillId="0" borderId="0" xfId="0" applyNumberFormat="1" applyFont="1" applyAlignment="1" applyProtection="1">
      <alignment horizontal="right"/>
    </xf>
    <xf numFmtId="10" fontId="29" fillId="0" borderId="0" xfId="0" applyNumberFormat="1" applyFont="1" applyAlignment="1" applyProtection="1">
      <alignment horizontal="left"/>
      <protection locked="0"/>
    </xf>
    <xf numFmtId="3" fontId="29" fillId="0" borderId="0" xfId="0" applyNumberFormat="1" applyFont="1" applyAlignment="1" applyProtection="1">
      <alignment horizontal="left"/>
      <protection locked="0"/>
    </xf>
    <xf numFmtId="167" fontId="29" fillId="0" borderId="0" xfId="0" applyNumberFormat="1" applyFont="1" applyProtection="1">
      <protection locked="0"/>
    </xf>
    <xf numFmtId="0" fontId="29" fillId="0" borderId="1" xfId="0" applyNumberFormat="1" applyFont="1" applyBorder="1" applyProtection="1">
      <protection locked="0"/>
    </xf>
    <xf numFmtId="3" fontId="164" fillId="2" borderId="1" xfId="0" applyNumberFormat="1" applyFont="1" applyFill="1" applyBorder="1" applyProtection="1">
      <protection locked="0"/>
    </xf>
    <xf numFmtId="165" fontId="29" fillId="0" borderId="0" xfId="0" applyNumberFormat="1" applyFont="1" applyAlignment="1" applyProtection="1">
      <alignment horizontal="right"/>
    </xf>
    <xf numFmtId="172" fontId="167" fillId="0" borderId="0" xfId="0" applyFont="1" applyProtection="1">
      <protection locked="0"/>
    </xf>
    <xf numFmtId="3" fontId="29" fillId="2" borderId="1" xfId="0" applyNumberFormat="1" applyFont="1" applyFill="1" applyBorder="1" applyProtection="1">
      <protection locked="0"/>
    </xf>
    <xf numFmtId="173" fontId="29" fillId="0" borderId="0" xfId="1" applyNumberFormat="1" applyFont="1" applyFill="1" applyBorder="1" applyAlignment="1" applyProtection="1">
      <protection locked="0"/>
    </xf>
    <xf numFmtId="3" fontId="168" fillId="0" borderId="0" xfId="0" applyNumberFormat="1" applyFont="1" applyProtection="1">
      <protection locked="0"/>
    </xf>
    <xf numFmtId="170" fontId="29" fillId="0" borderId="0" xfId="0" applyNumberFormat="1" applyFont="1" applyProtection="1">
      <protection locked="0"/>
    </xf>
    <xf numFmtId="172" fontId="168" fillId="0" borderId="0" xfId="0" applyFont="1" applyProtection="1">
      <protection locked="0"/>
    </xf>
    <xf numFmtId="172" fontId="169" fillId="0" borderId="0" xfId="0" applyFont="1" applyProtection="1">
      <protection locked="0"/>
    </xf>
    <xf numFmtId="172" fontId="170" fillId="0" borderId="0" xfId="0" applyFont="1" applyProtection="1">
      <protection locked="0"/>
    </xf>
    <xf numFmtId="172" fontId="168" fillId="0" borderId="0" xfId="0" applyFont="1" applyAlignment="1" applyProtection="1">
      <alignment horizontal="left" wrapText="1"/>
      <protection locked="0"/>
    </xf>
    <xf numFmtId="3" fontId="29" fillId="0" borderId="1" xfId="0" applyNumberFormat="1" applyFont="1" applyBorder="1" applyProtection="1">
      <protection locked="0"/>
    </xf>
    <xf numFmtId="3" fontId="29" fillId="0" borderId="1" xfId="0" applyNumberFormat="1" applyFont="1" applyBorder="1" applyAlignment="1" applyProtection="1">
      <alignment horizontal="center"/>
      <protection locked="0"/>
    </xf>
    <xf numFmtId="4" fontId="29" fillId="0" borderId="0" xfId="0" applyNumberFormat="1" applyFont="1" applyProtection="1">
      <protection locked="0"/>
    </xf>
    <xf numFmtId="4" fontId="29" fillId="0" borderId="0" xfId="0" applyNumberFormat="1" applyFont="1" applyProtection="1"/>
    <xf numFmtId="3" fontId="29" fillId="0" borderId="1" xfId="0" applyNumberFormat="1" applyFont="1" applyBorder="1" applyProtection="1"/>
    <xf numFmtId="166" fontId="29" fillId="0" borderId="0" xfId="0" applyNumberFormat="1" applyFont="1" applyAlignment="1" applyProtection="1">
      <alignment horizontal="center"/>
    </xf>
    <xf numFmtId="170" fontId="164" fillId="2" borderId="0" xfId="0" applyNumberFormat="1" applyFont="1" applyFill="1" applyProtection="1">
      <protection locked="0"/>
    </xf>
    <xf numFmtId="42" fontId="164" fillId="2" borderId="0" xfId="0" applyNumberFormat="1" applyFont="1" applyFill="1" applyProtection="1">
      <protection locked="0"/>
    </xf>
    <xf numFmtId="0" fontId="155" fillId="0" borderId="0" xfId="0" applyNumberFormat="1" applyFont="1" applyProtection="1">
      <protection locked="0"/>
    </xf>
    <xf numFmtId="9" fontId="29" fillId="0" borderId="0" xfId="0" applyNumberFormat="1" applyFont="1" applyProtection="1"/>
    <xf numFmtId="169" fontId="29" fillId="0" borderId="0" xfId="0" applyNumberFormat="1" applyFont="1" applyProtection="1">
      <protection locked="0"/>
    </xf>
    <xf numFmtId="169" fontId="29" fillId="0" borderId="0" xfId="0" applyNumberFormat="1" applyFont="1" applyProtection="1"/>
    <xf numFmtId="3" fontId="29" fillId="0" borderId="0" xfId="0" quotePrefix="1" applyNumberFormat="1" applyFont="1" applyProtection="1">
      <protection locked="0"/>
    </xf>
    <xf numFmtId="169" fontId="29" fillId="0" borderId="1" xfId="0" applyNumberFormat="1" applyFont="1" applyBorder="1" applyProtection="1"/>
    <xf numFmtId="3" fontId="121" fillId="0" borderId="0" xfId="0" applyNumberFormat="1" applyFont="1" applyAlignment="1" applyProtection="1">
      <alignment horizontal="center"/>
    </xf>
    <xf numFmtId="0" fontId="29" fillId="0" borderId="0" xfId="0" applyNumberFormat="1" applyFont="1" applyAlignment="1" applyProtection="1">
      <alignment horizontal="left" indent="8"/>
      <protection locked="0"/>
    </xf>
    <xf numFmtId="10" fontId="29" fillId="2" borderId="0" xfId="0" applyNumberFormat="1" applyFont="1" applyFill="1" applyAlignment="1" applyProtection="1">
      <alignment vertical="top" wrapText="1"/>
      <protection locked="0"/>
    </xf>
    <xf numFmtId="174" fontId="29" fillId="74" borderId="0" xfId="4665" applyNumberFormat="1" applyFont="1" applyFill="1" applyAlignment="1"/>
    <xf numFmtId="174" fontId="164" fillId="0" borderId="0" xfId="190" applyNumberFormat="1" applyFont="1" applyFill="1" applyAlignment="1"/>
    <xf numFmtId="3" fontId="171" fillId="0" borderId="0" xfId="0" applyNumberFormat="1" applyFont="1" applyProtection="1">
      <protection locked="0"/>
    </xf>
    <xf numFmtId="43" fontId="29" fillId="0" borderId="0" xfId="4665" applyFont="1" applyFill="1" applyAlignment="1"/>
    <xf numFmtId="166" fontId="29" fillId="0" borderId="0" xfId="4665" applyNumberFormat="1" applyFont="1" applyFill="1" applyAlignment="1"/>
    <xf numFmtId="3" fontId="29" fillId="0" borderId="4" xfId="4597" applyNumberFormat="1" applyFont="1" applyBorder="1"/>
    <xf numFmtId="3" fontId="29" fillId="0" borderId="4" xfId="0" applyNumberFormat="1" applyFont="1" applyBorder="1" applyProtection="1"/>
    <xf numFmtId="0" fontId="29" fillId="0" borderId="4" xfId="0" applyNumberFormat="1" applyFont="1" applyBorder="1" applyProtection="1">
      <protection locked="0"/>
    </xf>
    <xf numFmtId="3" fontId="29" fillId="0" borderId="4" xfId="0" applyNumberFormat="1" applyFont="1" applyBorder="1" applyProtection="1">
      <protection locked="0"/>
    </xf>
    <xf numFmtId="49" fontId="29" fillId="0" borderId="4" xfId="0" applyNumberFormat="1" applyFont="1" applyBorder="1" applyProtection="1">
      <protection locked="0"/>
    </xf>
    <xf numFmtId="174" fontId="29" fillId="0" borderId="4" xfId="190" applyNumberFormat="1" applyFont="1" applyFill="1" applyBorder="1" applyAlignment="1"/>
    <xf numFmtId="3" fontId="29" fillId="0" borderId="3" xfId="0" applyNumberFormat="1" applyFont="1" applyBorder="1" applyAlignment="1" applyProtection="1">
      <alignment horizontal="center"/>
      <protection locked="0"/>
    </xf>
    <xf numFmtId="172" fontId="121" fillId="0" borderId="0" xfId="0" applyFont="1" applyAlignment="1">
      <alignment horizontal="center"/>
    </xf>
    <xf numFmtId="0" fontId="155" fillId="0" borderId="0" xfId="0" applyNumberFormat="1" applyFont="1" applyAlignment="1">
      <alignment horizontal="center"/>
    </xf>
    <xf numFmtId="0" fontId="29" fillId="0" borderId="0" xfId="4155" applyNumberFormat="1" applyFont="1" applyAlignment="1" applyProtection="1">
      <alignment horizontal="right"/>
      <protection locked="0"/>
    </xf>
    <xf numFmtId="172" fontId="8" fillId="0" borderId="0" xfId="0" applyFont="1"/>
    <xf numFmtId="172" fontId="173" fillId="0" borderId="0" xfId="0" applyFont="1"/>
    <xf numFmtId="172" fontId="8" fillId="0" borderId="0" xfId="0" applyFont="1" applyAlignment="1">
      <alignment horizontal="right"/>
    </xf>
    <xf numFmtId="172" fontId="8" fillId="0" borderId="0" xfId="0" applyFont="1" applyAlignment="1">
      <alignment vertical="top" wrapText="1"/>
    </xf>
    <xf numFmtId="172" fontId="8" fillId="3" borderId="0" xfId="0" applyFont="1" applyFill="1"/>
    <xf numFmtId="172" fontId="8" fillId="74" borderId="0" xfId="0" applyFont="1" applyFill="1"/>
    <xf numFmtId="172" fontId="8" fillId="0" borderId="0" xfId="0" applyFont="1" applyAlignment="1">
      <alignment vertical="top"/>
    </xf>
    <xf numFmtId="172" fontId="173" fillId="0" borderId="1" xfId="0" applyFont="1" applyBorder="1"/>
    <xf numFmtId="172" fontId="173" fillId="0" borderId="1" xfId="0" applyFont="1" applyBorder="1" applyAlignment="1">
      <alignment horizontal="center"/>
    </xf>
    <xf numFmtId="172" fontId="8" fillId="0" borderId="0" xfId="0" applyFont="1" applyAlignment="1">
      <alignment horizontal="center"/>
    </xf>
    <xf numFmtId="172" fontId="174" fillId="0" borderId="0" xfId="4663" applyNumberFormat="1" applyFont="1" applyFill="1" applyAlignment="1" applyProtection="1"/>
    <xf numFmtId="172" fontId="8" fillId="0" borderId="0" xfId="0" quotePrefix="1" applyFont="1" applyAlignment="1">
      <alignment horizontal="center"/>
    </xf>
    <xf numFmtId="172" fontId="8" fillId="0" borderId="0" xfId="0" applyFont="1" applyProtection="1"/>
    <xf numFmtId="172" fontId="175" fillId="0" borderId="0" xfId="0" applyFont="1"/>
    <xf numFmtId="172" fontId="8" fillId="0" borderId="0" xfId="0" quotePrefix="1" applyFont="1"/>
    <xf numFmtId="0" fontId="29" fillId="0" borderId="0" xfId="4" applyFont="1"/>
    <xf numFmtId="0" fontId="29" fillId="0" borderId="0" xfId="4" applyFont="1" applyAlignment="1">
      <alignment horizontal="right"/>
    </xf>
    <xf numFmtId="0" fontId="29" fillId="0" borderId="0" xfId="4" applyFont="1" applyAlignment="1">
      <alignment horizontal="center"/>
    </xf>
    <xf numFmtId="3" fontId="29" fillId="0" borderId="0" xfId="0" applyNumberFormat="1" applyFont="1" applyAlignment="1">
      <alignment horizontal="center"/>
    </xf>
    <xf numFmtId="3" fontId="29" fillId="0" borderId="0" xfId="0" applyNumberFormat="1" applyFont="1"/>
    <xf numFmtId="0" fontId="29" fillId="0" borderId="3" xfId="4" applyFont="1" applyBorder="1" applyAlignment="1">
      <alignment horizontal="center"/>
    </xf>
    <xf numFmtId="172" fontId="29" fillId="0" borderId="3" xfId="0" applyFont="1" applyBorder="1" applyAlignment="1">
      <alignment horizontal="center"/>
    </xf>
    <xf numFmtId="0" fontId="29" fillId="0" borderId="3" xfId="0" applyNumberFormat="1" applyFont="1" applyBorder="1" applyAlignment="1" applyProtection="1">
      <alignment horizontal="center"/>
      <protection locked="0"/>
    </xf>
    <xf numFmtId="173" fontId="164" fillId="2" borderId="0" xfId="1" applyNumberFormat="1" applyFont="1" applyFill="1" applyBorder="1"/>
    <xf numFmtId="174" fontId="29" fillId="0" borderId="0" xfId="190" applyNumberFormat="1" applyFont="1" applyFill="1"/>
    <xf numFmtId="173" fontId="29" fillId="0" borderId="14" xfId="1" applyNumberFormat="1" applyFont="1" applyFill="1" applyBorder="1"/>
    <xf numFmtId="44" fontId="29" fillId="0" borderId="0" xfId="4" applyNumberFormat="1" applyFont="1"/>
    <xf numFmtId="0" fontId="121" fillId="0" borderId="0" xfId="4" applyFont="1"/>
    <xf numFmtId="174" fontId="29" fillId="0" borderId="0" xfId="190" applyNumberFormat="1" applyFont="1"/>
    <xf numFmtId="174" fontId="29" fillId="0" borderId="4" xfId="190" applyNumberFormat="1" applyFont="1" applyFill="1" applyBorder="1"/>
    <xf numFmtId="174" fontId="121" fillId="0" borderId="0" xfId="190" applyNumberFormat="1" applyFont="1" applyFill="1"/>
    <xf numFmtId="173" fontId="29" fillId="0" borderId="0" xfId="1" applyNumberFormat="1" applyFont="1" applyFill="1" applyBorder="1"/>
    <xf numFmtId="0" fontId="155" fillId="0" borderId="0" xfId="4" applyFont="1"/>
    <xf numFmtId="9" fontId="29" fillId="0" borderId="0" xfId="4475" applyFont="1"/>
    <xf numFmtId="172" fontId="121" fillId="0" borderId="0" xfId="0" applyFont="1" applyAlignment="1">
      <alignment horizontal="right"/>
    </xf>
    <xf numFmtId="49" fontId="121" fillId="0" borderId="0" xfId="4598" applyNumberFormat="1" applyFont="1" applyAlignment="1">
      <alignment horizontal="center"/>
    </xf>
    <xf numFmtId="0" fontId="29" fillId="0" borderId="3" xfId="4" applyFont="1" applyBorder="1"/>
    <xf numFmtId="10" fontId="29" fillId="0" borderId="0" xfId="3" applyNumberFormat="1" applyFont="1" applyFill="1"/>
    <xf numFmtId="10" fontId="29" fillId="0" borderId="0" xfId="4" applyNumberFormat="1" applyFont="1"/>
    <xf numFmtId="49" fontId="121" fillId="0" borderId="0" xfId="4" applyNumberFormat="1" applyFont="1"/>
    <xf numFmtId="172" fontId="121" fillId="0" borderId="0" xfId="0" applyFont="1" applyAlignment="1" applyProtection="1">
      <alignment horizontal="center" wrapText="1"/>
      <protection locked="0"/>
    </xf>
    <xf numFmtId="172" fontId="121" fillId="0" borderId="3" xfId="0" applyFont="1" applyBorder="1" applyAlignment="1" applyProtection="1">
      <alignment horizontal="center"/>
      <protection locked="0"/>
    </xf>
    <xf numFmtId="172" fontId="121" fillId="0" borderId="3" xfId="0" applyFont="1" applyBorder="1" applyAlignment="1" applyProtection="1">
      <alignment horizontal="center" wrapText="1"/>
      <protection locked="0"/>
    </xf>
    <xf numFmtId="174" fontId="29" fillId="0" borderId="0" xfId="4665" applyNumberFormat="1" applyFont="1" applyBorder="1" applyAlignment="1">
      <alignment horizontal="center"/>
    </xf>
    <xf numFmtId="10" fontId="8" fillId="56" borderId="0" xfId="4352" applyNumberFormat="1" applyFont="1" applyFill="1" applyBorder="1"/>
    <xf numFmtId="307" fontId="8" fillId="56" borderId="0" xfId="0" applyNumberFormat="1" applyFont="1" applyFill="1"/>
    <xf numFmtId="10" fontId="29" fillId="0" borderId="0" xfId="4666" applyNumberFormat="1" applyFont="1" applyBorder="1" applyAlignment="1">
      <alignment horizontal="right"/>
    </xf>
    <xf numFmtId="172" fontId="29" fillId="0" borderId="0" xfId="0" applyFont="1" applyAlignment="1" applyProtection="1">
      <alignment horizontal="right"/>
    </xf>
    <xf numFmtId="174" fontId="29" fillId="0" borderId="0" xfId="0" applyNumberFormat="1" applyFont="1" applyProtection="1"/>
    <xf numFmtId="174" fontId="29" fillId="0" borderId="17" xfId="0" applyNumberFormat="1" applyFont="1" applyBorder="1" applyProtection="1"/>
    <xf numFmtId="10" fontId="29" fillId="0" borderId="0" xfId="3" applyNumberFormat="1" applyFont="1" applyFill="1" applyBorder="1"/>
    <xf numFmtId="0" fontId="29" fillId="0" borderId="0" xfId="4476" applyFont="1"/>
    <xf numFmtId="0" fontId="29" fillId="0" borderId="0" xfId="4476" applyFont="1" applyAlignment="1">
      <alignment horizontal="center"/>
    </xf>
    <xf numFmtId="0" fontId="29" fillId="0" borderId="0" xfId="4476" applyFont="1" applyAlignment="1">
      <alignment horizontal="right"/>
    </xf>
    <xf numFmtId="0" fontId="121" fillId="0" borderId="0" xfId="4476" applyFont="1" applyAlignment="1">
      <alignment horizontal="left"/>
    </xf>
    <xf numFmtId="0" fontId="29" fillId="0" borderId="0" xfId="4476" applyFont="1" applyAlignment="1">
      <alignment horizontal="left"/>
    </xf>
    <xf numFmtId="16" fontId="29" fillId="0" borderId="0" xfId="4476" applyNumberFormat="1" applyFont="1" applyAlignment="1">
      <alignment horizontal="center"/>
    </xf>
    <xf numFmtId="0" fontId="29" fillId="0" borderId="0" xfId="4476" applyFont="1" applyAlignment="1">
      <alignment horizontal="left" wrapText="1"/>
    </xf>
    <xf numFmtId="0" fontId="29" fillId="0" borderId="0" xfId="4476" applyFont="1" applyAlignment="1">
      <alignment wrapText="1"/>
    </xf>
    <xf numFmtId="0" fontId="121" fillId="0" borderId="1" xfId="4476" applyFont="1" applyBorder="1" applyAlignment="1">
      <alignment horizontal="center" wrapText="1"/>
    </xf>
    <xf numFmtId="174" fontId="29" fillId="0" borderId="0" xfId="190" applyNumberFormat="1" applyFont="1" applyFill="1" applyBorder="1" applyAlignment="1" applyProtection="1">
      <alignment wrapText="1"/>
    </xf>
    <xf numFmtId="173" fontId="29" fillId="0" borderId="0" xfId="4476" applyNumberFormat="1" applyFont="1"/>
    <xf numFmtId="0" fontId="176" fillId="0" borderId="0" xfId="4476" applyFont="1" applyAlignment="1">
      <alignment horizontal="center"/>
    </xf>
    <xf numFmtId="173" fontId="29" fillId="0" borderId="0" xfId="1" applyNumberFormat="1" applyFont="1" applyFill="1" applyProtection="1"/>
    <xf numFmtId="0" fontId="121" fillId="0" borderId="3" xfId="4476" applyFont="1" applyBorder="1" applyAlignment="1">
      <alignment horizontal="left"/>
    </xf>
    <xf numFmtId="0" fontId="29" fillId="0" borderId="3" xfId="4476" applyFont="1" applyBorder="1" applyAlignment="1">
      <alignment horizontal="center"/>
    </xf>
    <xf numFmtId="0" fontId="29" fillId="0" borderId="3" xfId="4476" applyFont="1" applyBorder="1" applyAlignment="1">
      <alignment wrapText="1"/>
    </xf>
    <xf numFmtId="0" fontId="121" fillId="0" borderId="3" xfId="4476" applyFont="1" applyBorder="1" applyAlignment="1">
      <alignment horizontal="center" wrapText="1"/>
    </xf>
    <xf numFmtId="174" fontId="29" fillId="0" borderId="0" xfId="190" applyNumberFormat="1" applyFont="1" applyFill="1" applyBorder="1" applyProtection="1"/>
    <xf numFmtId="193" fontId="29" fillId="0" borderId="4" xfId="4352" applyNumberFormat="1" applyFont="1" applyBorder="1" applyAlignment="1" applyProtection="1">
      <alignment wrapText="1"/>
    </xf>
    <xf numFmtId="174" fontId="29" fillId="0" borderId="0" xfId="190" applyNumberFormat="1" applyFont="1" applyAlignment="1" applyProtection="1">
      <alignment wrapText="1"/>
    </xf>
    <xf numFmtId="0" fontId="29" fillId="0" borderId="3" xfId="4476" applyFont="1" applyBorder="1"/>
    <xf numFmtId="0" fontId="121" fillId="0" borderId="0" xfId="4476" applyFont="1" applyAlignment="1">
      <alignment horizontal="center" wrapText="1"/>
    </xf>
    <xf numFmtId="193" fontId="164" fillId="3" borderId="0" xfId="4352" applyNumberFormat="1" applyFont="1" applyFill="1" applyAlignment="1" applyProtection="1">
      <alignment wrapText="1"/>
    </xf>
    <xf numFmtId="193" fontId="29" fillId="0" borderId="4" xfId="4476" applyNumberFormat="1" applyFont="1" applyBorder="1" applyAlignment="1">
      <alignment wrapText="1"/>
    </xf>
    <xf numFmtId="193" fontId="29" fillId="0" borderId="0" xfId="4476" applyNumberFormat="1" applyFont="1" applyAlignment="1">
      <alignment wrapText="1"/>
    </xf>
    <xf numFmtId="193" fontId="29" fillId="0" borderId="0" xfId="4352" applyNumberFormat="1" applyFont="1" applyAlignment="1" applyProtection="1">
      <alignment wrapText="1"/>
    </xf>
    <xf numFmtId="42" fontId="29" fillId="0" borderId="0" xfId="4476" applyNumberFormat="1" applyFont="1" applyAlignment="1">
      <alignment horizontal="right"/>
    </xf>
    <xf numFmtId="41" fontId="29" fillId="0" borderId="0" xfId="190" applyNumberFormat="1" applyFont="1" applyFill="1" applyAlignment="1" applyProtection="1">
      <alignment horizontal="right"/>
    </xf>
    <xf numFmtId="174" fontId="29" fillId="0" borderId="0" xfId="4476" applyNumberFormat="1" applyFont="1"/>
    <xf numFmtId="0" fontId="29" fillId="0" borderId="0" xfId="4476" applyFont="1" applyAlignment="1">
      <alignment horizontal="center" vertical="top"/>
    </xf>
    <xf numFmtId="0" fontId="8" fillId="0" borderId="0" xfId="4476" applyFont="1" applyAlignment="1">
      <alignment horizontal="center"/>
    </xf>
    <xf numFmtId="0" fontId="8" fillId="0" borderId="0" xfId="4476" applyFont="1"/>
    <xf numFmtId="172" fontId="29" fillId="0" borderId="0" xfId="4667" applyNumberFormat="1" applyFont="1" applyAlignment="1"/>
    <xf numFmtId="172" fontId="29" fillId="0" borderId="0" xfId="4667" applyNumberFormat="1" applyFont="1" applyAlignment="1">
      <alignment horizontal="right"/>
    </xf>
    <xf numFmtId="0" fontId="29" fillId="0" borderId="0" xfId="4667" applyNumberFormat="1" applyFont="1" applyAlignment="1"/>
    <xf numFmtId="172" fontId="29" fillId="0" borderId="0" xfId="4667" applyNumberFormat="1" applyFont="1" applyBorder="1" applyAlignment="1"/>
    <xf numFmtId="0" fontId="29" fillId="0" borderId="0" xfId="4667" applyNumberFormat="1" applyFont="1" applyBorder="1" applyAlignment="1"/>
    <xf numFmtId="193" fontId="29" fillId="0" borderId="0" xfId="4667" applyNumberFormat="1" applyFont="1" applyAlignment="1"/>
    <xf numFmtId="172" fontId="29" fillId="0" borderId="0" xfId="4667" applyNumberFormat="1" applyFont="1" applyFill="1" applyBorder="1" applyAlignment="1"/>
    <xf numFmtId="306" fontId="37" fillId="0" borderId="0" xfId="4667" applyNumberFormat="1" applyFont="1" applyFill="1" applyAlignment="1">
      <alignment horizontal="left"/>
    </xf>
    <xf numFmtId="41" fontId="29" fillId="77" borderId="0" xfId="1" applyNumberFormat="1" applyFont="1" applyFill="1" applyAlignment="1" applyProtection="1">
      <protection locked="0"/>
    </xf>
    <xf numFmtId="41" fontId="29" fillId="77" borderId="38" xfId="1" applyNumberFormat="1" applyFont="1" applyFill="1" applyBorder="1" applyAlignment="1" applyProtection="1">
      <protection locked="0"/>
    </xf>
    <xf numFmtId="173" fontId="29" fillId="0" borderId="0" xfId="1" applyNumberFormat="1" applyFont="1" applyFill="1" applyBorder="1" applyAlignment="1"/>
    <xf numFmtId="172" fontId="29" fillId="0" borderId="38" xfId="4667" applyNumberFormat="1" applyFont="1" applyBorder="1" applyAlignment="1"/>
    <xf numFmtId="172" fontId="155" fillId="0" borderId="0" xfId="4667" applyNumberFormat="1" applyFont="1" applyBorder="1" applyAlignment="1">
      <alignment horizontal="center"/>
    </xf>
    <xf numFmtId="306" fontId="29" fillId="3" borderId="0" xfId="4667" quotePrefix="1" applyNumberFormat="1" applyFont="1" applyFill="1" applyAlignment="1">
      <alignment horizontal="left"/>
    </xf>
    <xf numFmtId="42" fontId="37" fillId="0" borderId="0" xfId="4667" applyNumberFormat="1" applyFont="1" applyAlignment="1"/>
    <xf numFmtId="42" fontId="37" fillId="0" borderId="0" xfId="4667" applyNumberFormat="1" applyFont="1" applyBorder="1" applyAlignment="1"/>
    <xf numFmtId="42" fontId="37" fillId="0" borderId="38" xfId="4667" applyNumberFormat="1" applyFont="1" applyBorder="1" applyAlignment="1"/>
    <xf numFmtId="42" fontId="37" fillId="0" borderId="0" xfId="1" applyNumberFormat="1" applyFont="1" applyFill="1" applyBorder="1" applyAlignment="1"/>
    <xf numFmtId="42" fontId="29" fillId="0" borderId="38" xfId="4667" applyNumberFormat="1" applyFont="1" applyBorder="1" applyAlignment="1"/>
    <xf numFmtId="42" fontId="29" fillId="0" borderId="0" xfId="4667" applyNumberFormat="1" applyFont="1" applyBorder="1" applyAlignment="1"/>
    <xf numFmtId="306" fontId="29" fillId="0" borderId="0" xfId="4667" applyNumberFormat="1" applyFont="1" applyFill="1" applyAlignment="1">
      <alignment horizontal="left"/>
    </xf>
    <xf numFmtId="170" fontId="29" fillId="0" borderId="0" xfId="4667" applyNumberFormat="1" applyFont="1" applyAlignment="1"/>
    <xf numFmtId="172" fontId="29" fillId="0" borderId="0" xfId="4667" applyNumberFormat="1" applyFont="1" applyFill="1" applyAlignment="1"/>
    <xf numFmtId="172" fontId="155" fillId="0" borderId="0" xfId="4667" applyNumberFormat="1" applyFont="1" applyAlignment="1">
      <alignment horizontal="center"/>
    </xf>
    <xf numFmtId="172" fontId="121" fillId="0" borderId="0" xfId="4667" quotePrefix="1" applyNumberFormat="1" applyFont="1" applyFill="1" applyAlignment="1"/>
    <xf numFmtId="172" fontId="29" fillId="0" borderId="0" xfId="4667" applyNumberFormat="1" applyFont="1" applyAlignment="1">
      <alignment horizontal="center" vertical="top"/>
    </xf>
    <xf numFmtId="172" fontId="29" fillId="0" borderId="0" xfId="4667" applyNumberFormat="1" applyFont="1" applyBorder="1" applyAlignment="1">
      <alignment horizontal="center"/>
    </xf>
    <xf numFmtId="172" fontId="29" fillId="0" borderId="3" xfId="4667" applyNumberFormat="1" applyFont="1" applyFill="1" applyBorder="1"/>
    <xf numFmtId="172" fontId="29" fillId="0" borderId="0" xfId="4667" applyNumberFormat="1" applyFont="1" applyFill="1"/>
    <xf numFmtId="0" fontId="29" fillId="0" borderId="0" xfId="4667" applyNumberFormat="1" applyFont="1" applyFill="1" applyAlignment="1">
      <alignment horizontal="center"/>
    </xf>
    <xf numFmtId="172" fontId="121" fillId="0" borderId="17" xfId="4667" applyNumberFormat="1" applyFont="1" applyFill="1" applyBorder="1" applyAlignment="1">
      <alignment horizontal="center" wrapText="1"/>
    </xf>
    <xf numFmtId="172" fontId="121" fillId="0" borderId="54" xfId="4667" applyNumberFormat="1" applyFont="1" applyFill="1" applyBorder="1" applyAlignment="1">
      <alignment horizontal="center" wrapText="1"/>
    </xf>
    <xf numFmtId="172" fontId="29" fillId="0" borderId="0" xfId="0" applyFont="1" applyAlignment="1">
      <alignment horizontal="left" vertical="center" wrapText="1"/>
    </xf>
    <xf numFmtId="0" fontId="29" fillId="0" borderId="0" xfId="4228" applyFont="1" applyAlignment="1">
      <alignment horizontal="left" vertical="top" wrapText="1"/>
    </xf>
    <xf numFmtId="44" fontId="29" fillId="0" borderId="0" xfId="4" applyNumberFormat="1" applyFont="1" applyAlignment="1">
      <alignment horizontal="center"/>
    </xf>
    <xf numFmtId="10" fontId="29" fillId="0" borderId="0" xfId="4665" applyNumberFormat="1" applyFont="1" applyFill="1" applyAlignment="1">
      <alignment horizontal="center"/>
    </xf>
    <xf numFmtId="10" fontId="29" fillId="0" borderId="0" xfId="3" applyNumberFormat="1" applyFont="1" applyFill="1" applyAlignment="1">
      <alignment horizontal="center"/>
    </xf>
    <xf numFmtId="0" fontId="29" fillId="0" borderId="4" xfId="4" applyFont="1" applyBorder="1"/>
    <xf numFmtId="10" fontId="29" fillId="0" borderId="4" xfId="3" applyNumberFormat="1" applyFont="1" applyFill="1" applyBorder="1" applyAlignment="1">
      <alignment horizontal="center"/>
    </xf>
    <xf numFmtId="172" fontId="177" fillId="0" borderId="0" xfId="0" applyFont="1"/>
    <xf numFmtId="172" fontId="179" fillId="0" borderId="51" xfId="0" applyFont="1" applyBorder="1"/>
    <xf numFmtId="172" fontId="177" fillId="0" borderId="37" xfId="0" applyFont="1" applyBorder="1"/>
    <xf numFmtId="172" fontId="177" fillId="0" borderId="38" xfId="0" applyFont="1" applyBorder="1"/>
    <xf numFmtId="10" fontId="177" fillId="0" borderId="0" xfId="4352" applyNumberFormat="1" applyFont="1" applyBorder="1" applyAlignment="1"/>
    <xf numFmtId="172" fontId="178" fillId="0" borderId="53" xfId="0" applyFont="1" applyBorder="1" applyAlignment="1">
      <alignment horizontal="center"/>
    </xf>
    <xf numFmtId="172" fontId="178" fillId="0" borderId="3" xfId="0" applyFont="1" applyBorder="1" applyAlignment="1">
      <alignment horizontal="center"/>
    </xf>
    <xf numFmtId="172" fontId="177" fillId="0" borderId="3" xfId="0" applyFont="1" applyBorder="1" applyAlignment="1">
      <alignment horizontal="center"/>
    </xf>
    <xf numFmtId="172" fontId="177" fillId="0" borderId="37" xfId="0" applyFont="1" applyBorder="1" applyAlignment="1">
      <alignment horizontal="center"/>
    </xf>
    <xf numFmtId="172" fontId="177" fillId="0" borderId="0" xfId="0" applyFont="1" applyAlignment="1">
      <alignment horizontal="center"/>
    </xf>
    <xf numFmtId="172" fontId="177" fillId="0" borderId="38" xfId="0" applyFont="1" applyBorder="1" applyAlignment="1">
      <alignment horizontal="center"/>
    </xf>
    <xf numFmtId="42" fontId="177" fillId="0" borderId="0" xfId="0" applyNumberFormat="1" applyFont="1"/>
    <xf numFmtId="42" fontId="177" fillId="0" borderId="0" xfId="1" applyNumberFormat="1" applyFont="1" applyBorder="1" applyAlignment="1"/>
    <xf numFmtId="42" fontId="177" fillId="0" borderId="38" xfId="1" applyNumberFormat="1" applyFont="1" applyBorder="1" applyAlignment="1"/>
    <xf numFmtId="174" fontId="177" fillId="0" borderId="52" xfId="190" applyNumberFormat="1" applyFont="1" applyBorder="1" applyAlignment="1"/>
    <xf numFmtId="174" fontId="177" fillId="0" borderId="3" xfId="190" applyNumberFormat="1" applyFont="1" applyBorder="1" applyAlignment="1"/>
    <xf numFmtId="44" fontId="177" fillId="0" borderId="52" xfId="1" applyFont="1" applyBorder="1" applyAlignment="1">
      <alignment horizontal="right"/>
    </xf>
    <xf numFmtId="173" fontId="177" fillId="0" borderId="3" xfId="1" applyNumberFormat="1" applyFont="1" applyBorder="1" applyAlignment="1"/>
    <xf numFmtId="173" fontId="177" fillId="0" borderId="53" xfId="1" applyNumberFormat="1" applyFont="1" applyBorder="1" applyAlignment="1"/>
    <xf numFmtId="174" fontId="177" fillId="0" borderId="0" xfId="190" applyNumberFormat="1" applyFont="1" applyBorder="1" applyAlignment="1"/>
    <xf numFmtId="44" fontId="177" fillId="0" borderId="0" xfId="1" applyFont="1" applyBorder="1" applyAlignment="1">
      <alignment horizontal="right"/>
    </xf>
    <xf numFmtId="173" fontId="177" fillId="0" borderId="0" xfId="1" applyNumberFormat="1" applyFont="1" applyBorder="1" applyAlignment="1"/>
    <xf numFmtId="172" fontId="177" fillId="3" borderId="4" xfId="0" applyFont="1" applyFill="1" applyBorder="1"/>
    <xf numFmtId="172" fontId="177" fillId="3" borderId="0" xfId="0" applyFont="1" applyFill="1" applyAlignment="1">
      <alignment horizontal="center"/>
    </xf>
    <xf numFmtId="10" fontId="177" fillId="3" borderId="0" xfId="4352" applyNumberFormat="1" applyFont="1" applyFill="1" applyBorder="1" applyAlignment="1"/>
    <xf numFmtId="172" fontId="177" fillId="3" borderId="4" xfId="0" applyFont="1" applyFill="1" applyBorder="1" applyAlignment="1">
      <alignment wrapText="1"/>
    </xf>
    <xf numFmtId="0" fontId="177" fillId="3" borderId="0" xfId="4352" quotePrefix="1" applyNumberFormat="1" applyFont="1" applyFill="1" applyBorder="1" applyAlignment="1">
      <alignment horizontal="right"/>
    </xf>
    <xf numFmtId="42" fontId="177" fillId="3" borderId="37" xfId="1" applyNumberFormat="1" applyFont="1" applyFill="1" applyBorder="1" applyAlignment="1">
      <alignment horizontal="right"/>
    </xf>
    <xf numFmtId="42" fontId="177" fillId="3" borderId="0" xfId="1" applyNumberFormat="1" applyFont="1" applyFill="1" applyBorder="1" applyAlignment="1"/>
    <xf numFmtId="172" fontId="178" fillId="0" borderId="0" xfId="0" applyFont="1" applyAlignment="1">
      <alignment horizontal="center"/>
    </xf>
    <xf numFmtId="0" fontId="29" fillId="0" borderId="0" xfId="4598" applyFont="1" applyAlignment="1">
      <alignment horizontal="center"/>
    </xf>
    <xf numFmtId="44" fontId="163" fillId="0" borderId="0" xfId="0" applyNumberFormat="1" applyFont="1" applyAlignment="1">
      <alignment horizontal="center"/>
    </xf>
    <xf numFmtId="0" fontId="177" fillId="0" borderId="0" xfId="0" applyNumberFormat="1" applyFont="1" applyAlignment="1">
      <alignment horizontal="center"/>
    </xf>
    <xf numFmtId="172" fontId="177" fillId="0" borderId="0" xfId="0" applyFont="1" applyAlignment="1">
      <alignment horizontal="left"/>
    </xf>
    <xf numFmtId="172" fontId="180" fillId="0" borderId="0" xfId="0" applyFont="1" applyAlignment="1">
      <alignment horizontal="center"/>
    </xf>
    <xf numFmtId="0" fontId="177" fillId="3" borderId="0" xfId="0" applyNumberFormat="1" applyFont="1" applyFill="1" applyAlignment="1">
      <alignment horizontal="center"/>
    </xf>
    <xf numFmtId="0" fontId="163" fillId="0" borderId="0" xfId="0" applyNumberFormat="1" applyFont="1" applyProtection="1">
      <protection locked="0"/>
    </xf>
    <xf numFmtId="172" fontId="121" fillId="0" borderId="0" xfId="4667" applyNumberFormat="1" applyFont="1" applyBorder="1" applyAlignment="1"/>
    <xf numFmtId="172" fontId="29" fillId="0" borderId="37" xfId="4667" applyNumberFormat="1" applyFont="1" applyFill="1" applyBorder="1" applyAlignment="1"/>
    <xf numFmtId="41" fontId="29" fillId="77" borderId="0" xfId="1" applyNumberFormat="1" applyFont="1" applyFill="1" applyBorder="1" applyAlignment="1" applyProtection="1">
      <protection locked="0"/>
    </xf>
    <xf numFmtId="172" fontId="29" fillId="0" borderId="37" xfId="4667" applyNumberFormat="1" applyFont="1" applyBorder="1" applyAlignment="1"/>
    <xf numFmtId="172" fontId="155" fillId="0" borderId="37" xfId="4667" applyNumberFormat="1" applyFont="1" applyBorder="1" applyAlignment="1">
      <alignment horizontal="center"/>
    </xf>
    <xf numFmtId="172" fontId="178" fillId="0" borderId="0" xfId="0" applyFont="1" applyAlignment="1">
      <alignment horizontal="left"/>
    </xf>
    <xf numFmtId="42" fontId="177" fillId="78" borderId="0" xfId="0" applyNumberFormat="1" applyFont="1" applyFill="1"/>
    <xf numFmtId="172" fontId="178" fillId="0" borderId="37" xfId="0" applyFont="1" applyBorder="1" applyAlignment="1">
      <alignment horizontal="center"/>
    </xf>
    <xf numFmtId="172" fontId="178" fillId="0" borderId="52" xfId="0" applyFont="1" applyBorder="1" applyAlignment="1">
      <alignment horizontal="center"/>
    </xf>
    <xf numFmtId="42" fontId="37" fillId="0" borderId="37" xfId="4667" applyNumberFormat="1" applyFont="1" applyBorder="1" applyAlignment="1"/>
    <xf numFmtId="174" fontId="177" fillId="0" borderId="37" xfId="190" applyNumberFormat="1" applyFont="1" applyBorder="1" applyAlignment="1"/>
    <xf numFmtId="172" fontId="177" fillId="3" borderId="47" xfId="0" applyFont="1" applyFill="1" applyBorder="1"/>
    <xf numFmtId="172" fontId="178" fillId="0" borderId="38" xfId="0" applyFont="1" applyBorder="1" applyAlignment="1">
      <alignment horizontal="center"/>
    </xf>
    <xf numFmtId="174" fontId="177" fillId="0" borderId="38" xfId="190" applyNumberFormat="1" applyFont="1" applyBorder="1" applyAlignment="1"/>
    <xf numFmtId="174" fontId="177" fillId="0" borderId="53" xfId="190" applyNumberFormat="1" applyFont="1" applyBorder="1" applyAlignment="1"/>
    <xf numFmtId="44" fontId="177" fillId="0" borderId="37" xfId="1" applyFont="1" applyBorder="1" applyAlignment="1">
      <alignment horizontal="right"/>
    </xf>
    <xf numFmtId="173" fontId="177" fillId="0" borderId="38" xfId="1" applyNumberFormat="1" applyFont="1" applyBorder="1" applyAlignment="1"/>
    <xf numFmtId="172" fontId="177" fillId="0" borderId="35" xfId="0" applyFont="1" applyBorder="1"/>
    <xf numFmtId="172" fontId="121" fillId="0" borderId="0" xfId="4667" applyNumberFormat="1" applyFont="1" applyFill="1" applyAlignment="1">
      <alignment horizontal="center"/>
    </xf>
    <xf numFmtId="0" fontId="29" fillId="0" borderId="0" xfId="4671" applyFont="1"/>
    <xf numFmtId="0" fontId="29" fillId="0" borderId="0" xfId="4671" quotePrefix="1" applyFont="1"/>
    <xf numFmtId="0" fontId="29" fillId="0" borderId="0" xfId="4671" applyFont="1" applyAlignment="1">
      <alignment horizontal="center"/>
    </xf>
    <xf numFmtId="37" fontId="29" fillId="0" borderId="0" xfId="4671" applyNumberFormat="1" applyFont="1" applyAlignment="1">
      <alignment horizontal="right"/>
    </xf>
    <xf numFmtId="0" fontId="182" fillId="0" borderId="27" xfId="4671" applyFont="1" applyBorder="1"/>
    <xf numFmtId="37" fontId="29" fillId="0" borderId="0" xfId="4671" applyNumberFormat="1" applyFont="1"/>
    <xf numFmtId="0" fontId="29" fillId="0" borderId="0" xfId="4671" applyFont="1" applyAlignment="1">
      <alignment horizontal="left" indent="1"/>
    </xf>
    <xf numFmtId="5" fontId="29" fillId="0" borderId="0" xfId="4671" applyNumberFormat="1" applyFont="1"/>
    <xf numFmtId="0" fontId="29" fillId="0" borderId="0" xfId="4671" applyFont="1" applyAlignment="1">
      <alignment horizontal="left" indent="2"/>
    </xf>
    <xf numFmtId="0" fontId="130" fillId="0" borderId="0" xfId="4473" applyFont="1" applyAlignment="1">
      <alignment horizontal="left" indent="2"/>
    </xf>
    <xf numFmtId="0" fontId="182" fillId="0" borderId="0" xfId="4671" applyFont="1" applyAlignment="1">
      <alignment horizontal="left"/>
    </xf>
    <xf numFmtId="212" fontId="29" fillId="0" borderId="0" xfId="4671" applyNumberFormat="1" applyFont="1"/>
    <xf numFmtId="309" fontId="29" fillId="0" borderId="0" xfId="4671" applyNumberFormat="1" applyFont="1"/>
    <xf numFmtId="0" fontId="121" fillId="0" borderId="0" xfId="4671" applyFont="1"/>
    <xf numFmtId="0" fontId="155" fillId="0" borderId="0" xfId="4" applyFont="1" applyAlignment="1">
      <alignment horizontal="center"/>
    </xf>
    <xf numFmtId="174" fontId="29" fillId="0" borderId="0" xfId="4665" applyNumberFormat="1" applyFont="1" applyFill="1" applyAlignment="1" applyProtection="1">
      <alignment horizontal="center"/>
      <protection locked="0"/>
    </xf>
    <xf numFmtId="43" fontId="29" fillId="0" borderId="0" xfId="190" applyFont="1" applyFill="1" applyAlignment="1"/>
    <xf numFmtId="172" fontId="29" fillId="0" borderId="0" xfId="4667" applyNumberFormat="1" applyFont="1" applyFill="1" applyAlignment="1">
      <alignment horizontal="right"/>
    </xf>
    <xf numFmtId="172" fontId="121" fillId="0" borderId="0" xfId="4667" applyNumberFormat="1" applyFont="1" applyBorder="1"/>
    <xf numFmtId="172" fontId="121" fillId="0" borderId="0" xfId="4667" applyNumberFormat="1" applyFont="1" applyBorder="1" applyAlignment="1">
      <alignment horizontal="center"/>
    </xf>
    <xf numFmtId="172" fontId="29" fillId="0" borderId="0" xfId="4667" quotePrefix="1" applyNumberFormat="1" applyFont="1" applyAlignment="1">
      <alignment horizontal="center"/>
    </xf>
    <xf numFmtId="172" fontId="29" fillId="0" borderId="0" xfId="4667" quotePrefix="1" applyNumberFormat="1" applyFont="1" applyFill="1" applyAlignment="1">
      <alignment horizontal="center"/>
    </xf>
    <xf numFmtId="172" fontId="121" fillId="0" borderId="0" xfId="4667" applyNumberFormat="1" applyFont="1" applyAlignment="1"/>
    <xf numFmtId="172" fontId="121" fillId="0" borderId="0" xfId="4667" applyNumberFormat="1" applyFont="1" applyAlignment="1">
      <alignment horizontal="center"/>
    </xf>
    <xf numFmtId="172" fontId="121" fillId="0" borderId="1" xfId="4667" applyNumberFormat="1" applyFont="1" applyBorder="1" applyAlignment="1">
      <alignment horizontal="center"/>
    </xf>
    <xf numFmtId="172" fontId="121" fillId="0" borderId="1" xfId="4667" applyNumberFormat="1" applyFont="1" applyFill="1" applyBorder="1" applyAlignment="1">
      <alignment horizontal="center"/>
    </xf>
    <xf numFmtId="0" fontId="29" fillId="0" borderId="0" xfId="190" applyNumberFormat="1" applyFont="1" applyAlignment="1">
      <alignment horizontal="center"/>
    </xf>
    <xf numFmtId="170" fontId="29" fillId="0" borderId="0" xfId="190" applyNumberFormat="1" applyFont="1" applyFill="1" applyBorder="1" applyAlignment="1"/>
    <xf numFmtId="0" fontId="29" fillId="0" borderId="0" xfId="4667" applyNumberFormat="1" applyFont="1" applyAlignment="1">
      <alignment horizontal="center"/>
    </xf>
    <xf numFmtId="193" fontId="29" fillId="0" borderId="0" xfId="4667" applyNumberFormat="1" applyFont="1" applyFill="1" applyAlignment="1"/>
    <xf numFmtId="41" fontId="29" fillId="0" borderId="0" xfId="4668" applyNumberFormat="1" applyFont="1" applyProtection="1">
      <protection locked="0"/>
    </xf>
    <xf numFmtId="271" fontId="29" fillId="78" borderId="0" xfId="190" applyNumberFormat="1" applyFont="1" applyFill="1" applyAlignment="1"/>
    <xf numFmtId="41" fontId="29" fillId="0" borderId="0" xfId="4667" applyNumberFormat="1" applyFont="1" applyFill="1" applyBorder="1" applyAlignment="1"/>
    <xf numFmtId="172" fontId="29" fillId="0" borderId="4" xfId="4667" applyNumberFormat="1" applyFont="1" applyFill="1" applyBorder="1" applyAlignment="1"/>
    <xf numFmtId="173" fontId="29" fillId="0" borderId="4" xfId="1" applyNumberFormat="1" applyFont="1" applyFill="1" applyBorder="1" applyAlignment="1"/>
    <xf numFmtId="271" fontId="29" fillId="0" borderId="4" xfId="190" applyNumberFormat="1" applyFont="1" applyFill="1" applyBorder="1" applyAlignment="1"/>
    <xf numFmtId="173" fontId="29" fillId="0" borderId="0" xfId="4668" applyNumberFormat="1" applyFont="1" applyProtection="1">
      <protection locked="0"/>
    </xf>
    <xf numFmtId="0" fontId="29" fillId="0" borderId="4" xfId="4667" applyNumberFormat="1" applyFont="1" applyBorder="1" applyAlignment="1"/>
    <xf numFmtId="1" fontId="29" fillId="0" borderId="4" xfId="4668" applyNumberFormat="1" applyFont="1" applyBorder="1" applyAlignment="1" applyProtection="1">
      <alignment horizontal="left"/>
      <protection locked="0"/>
    </xf>
    <xf numFmtId="173" fontId="29" fillId="0" borderId="4" xfId="4668" applyNumberFormat="1" applyFont="1" applyBorder="1" applyProtection="1">
      <protection locked="0"/>
    </xf>
    <xf numFmtId="173" fontId="29" fillId="0" borderId="0" xfId="1" applyNumberFormat="1" applyFont="1" applyFill="1" applyAlignment="1"/>
    <xf numFmtId="172" fontId="121" fillId="0" borderId="0" xfId="4669" applyFont="1" applyAlignment="1">
      <alignment horizontal="left"/>
    </xf>
    <xf numFmtId="42" fontId="29" fillId="0" borderId="0" xfId="4667" applyNumberFormat="1" applyFont="1" applyAlignment="1"/>
    <xf numFmtId="0" fontId="29" fillId="0" borderId="0" xfId="4667" applyNumberFormat="1" applyFont="1" applyFill="1" applyBorder="1" applyAlignment="1"/>
    <xf numFmtId="41" fontId="114" fillId="0" borderId="0" xfId="4668" applyNumberFormat="1" applyFont="1" applyProtection="1">
      <protection locked="0"/>
    </xf>
    <xf numFmtId="172" fontId="29" fillId="0" borderId="0" xfId="4667" applyNumberFormat="1" applyFont="1" applyFill="1" applyBorder="1" applyAlignment="1">
      <alignment horizontal="center"/>
    </xf>
    <xf numFmtId="193" fontId="29" fillId="0" borderId="0" xfId="4667" applyNumberFormat="1" applyFont="1" applyFill="1" applyBorder="1" applyAlignment="1"/>
    <xf numFmtId="42" fontId="29" fillId="0" borderId="0" xfId="4667" applyNumberFormat="1" applyFont="1" applyFill="1" applyBorder="1" applyAlignment="1"/>
    <xf numFmtId="10" fontId="29" fillId="0" borderId="0" xfId="4667" applyNumberFormat="1" applyFont="1" applyFill="1" applyBorder="1" applyAlignment="1"/>
    <xf numFmtId="41" fontId="183" fillId="0" borderId="0" xfId="4667" applyNumberFormat="1" applyFont="1" applyFill="1" applyBorder="1" applyAlignment="1"/>
    <xf numFmtId="0" fontId="29" fillId="0" borderId="0" xfId="4670" applyFont="1"/>
    <xf numFmtId="1" fontId="164" fillId="3" borderId="0" xfId="0" applyNumberFormat="1" applyFont="1" applyFill="1" applyAlignment="1" applyProtection="1">
      <alignment horizontal="center"/>
      <protection locked="0"/>
    </xf>
    <xf numFmtId="14" fontId="29" fillId="0" borderId="0" xfId="0" applyNumberFormat="1" applyFont="1" applyProtection="1">
      <protection locked="0"/>
    </xf>
    <xf numFmtId="1" fontId="29" fillId="0" borderId="0" xfId="0" applyNumberFormat="1" applyFont="1" applyAlignment="1" applyProtection="1">
      <alignment horizontal="center"/>
      <protection locked="0"/>
    </xf>
    <xf numFmtId="0" fontId="29" fillId="0" borderId="0" xfId="4" applyFont="1" applyAlignment="1">
      <alignment horizontal="center" vertical="top"/>
    </xf>
    <xf numFmtId="42" fontId="29" fillId="0" borderId="0" xfId="0" applyNumberFormat="1" applyFont="1" applyAlignment="1" applyProtection="1">
      <alignment horizontal="right"/>
    </xf>
    <xf numFmtId="0" fontId="29" fillId="0" borderId="0" xfId="0" applyNumberFormat="1" applyFont="1"/>
    <xf numFmtId="3" fontId="164" fillId="3" borderId="0" xfId="0" applyNumberFormat="1" applyFont="1" applyFill="1"/>
    <xf numFmtId="172" fontId="121" fillId="0" borderId="0" xfId="0" applyFont="1"/>
    <xf numFmtId="0" fontId="121" fillId="0" borderId="0" xfId="4" applyFont="1" applyAlignment="1">
      <alignment horizontal="center"/>
    </xf>
    <xf numFmtId="3" fontId="29" fillId="0" borderId="1" xfId="0" applyNumberFormat="1" applyFont="1" applyBorder="1" applyAlignment="1">
      <alignment horizontal="center"/>
    </xf>
    <xf numFmtId="0" fontId="121" fillId="0" borderId="1" xfId="4" applyFont="1" applyBorder="1" applyAlignment="1">
      <alignment horizontal="center"/>
    </xf>
    <xf numFmtId="0" fontId="29" fillId="0" borderId="0" xfId="4" applyFont="1" applyAlignment="1">
      <alignment horizontal="center" vertical="center"/>
    </xf>
    <xf numFmtId="174" fontId="29" fillId="74" borderId="14" xfId="4665" applyNumberFormat="1" applyFont="1" applyFill="1" applyBorder="1" applyAlignment="1"/>
    <xf numFmtId="0" fontId="185" fillId="0" borderId="0" xfId="4671" applyFont="1" applyAlignment="1">
      <alignment horizontal="center"/>
    </xf>
    <xf numFmtId="0" fontId="182" fillId="0" borderId="0" xfId="4671" applyFont="1" applyAlignment="1">
      <alignment horizontal="center"/>
    </xf>
    <xf numFmtId="37" fontId="182" fillId="0" borderId="0" xfId="4671" applyNumberFormat="1" applyFont="1" applyAlignment="1">
      <alignment horizontal="center"/>
    </xf>
    <xf numFmtId="173" fontId="164" fillId="3" borderId="0" xfId="1" applyNumberFormat="1" applyFont="1" applyFill="1" applyAlignment="1"/>
    <xf numFmtId="173" fontId="29" fillId="0" borderId="4" xfId="1" applyNumberFormat="1" applyFont="1" applyFill="1" applyBorder="1"/>
    <xf numFmtId="0" fontId="29" fillId="0" borderId="4" xfId="4671" applyFont="1" applyBorder="1" applyAlignment="1">
      <alignment horizontal="left" indent="1"/>
    </xf>
    <xf numFmtId="42" fontId="121" fillId="0" borderId="0" xfId="1" applyNumberFormat="1" applyFont="1" applyFill="1" applyBorder="1" applyAlignment="1" applyProtection="1">
      <alignment horizontal="right"/>
    </xf>
    <xf numFmtId="42" fontId="29" fillId="0" borderId="0" xfId="0" applyNumberFormat="1" applyFont="1" applyProtection="1">
      <protection locked="0"/>
    </xf>
    <xf numFmtId="42" fontId="29" fillId="0" borderId="0" xfId="4671" applyNumberFormat="1" applyFont="1"/>
    <xf numFmtId="0" fontId="29" fillId="0" borderId="0" xfId="4671" applyFont="1" applyAlignment="1">
      <alignment horizontal="left"/>
    </xf>
    <xf numFmtId="173" fontId="29" fillId="0" borderId="0" xfId="4671" applyNumberFormat="1" applyFont="1"/>
    <xf numFmtId="173" fontId="29" fillId="0" borderId="15" xfId="4671" applyNumberFormat="1" applyFont="1" applyBorder="1"/>
    <xf numFmtId="42" fontId="29" fillId="0" borderId="15" xfId="1" applyNumberFormat="1" applyFont="1" applyFill="1" applyBorder="1" applyAlignment="1" applyProtection="1">
      <alignment horizontal="right"/>
    </xf>
    <xf numFmtId="0" fontId="29" fillId="0" borderId="0" xfId="0" applyNumberFormat="1" applyFont="1" applyAlignment="1" applyProtection="1">
      <alignment vertical="top" wrapText="1"/>
      <protection locked="0"/>
    </xf>
    <xf numFmtId="0" fontId="121" fillId="0" borderId="0" xfId="4155" applyNumberFormat="1" applyFont="1" applyAlignment="1" applyProtection="1">
      <alignment horizontal="center"/>
      <protection locked="0"/>
    </xf>
    <xf numFmtId="49" fontId="121" fillId="0" borderId="0" xfId="4597" applyNumberFormat="1" applyFont="1" applyAlignment="1">
      <alignment horizontal="center"/>
    </xf>
    <xf numFmtId="173" fontId="29" fillId="0" borderId="14" xfId="4476" applyNumberFormat="1" applyFont="1" applyBorder="1"/>
    <xf numFmtId="42" fontId="121" fillId="0" borderId="15" xfId="1" applyNumberFormat="1" applyFont="1" applyFill="1" applyBorder="1" applyAlignment="1" applyProtection="1">
      <alignment horizontal="right"/>
    </xf>
    <xf numFmtId="10" fontId="29" fillId="0" borderId="0" xfId="4352" applyNumberFormat="1" applyFont="1" applyAlignment="1" applyProtection="1">
      <alignment wrapText="1"/>
    </xf>
    <xf numFmtId="168" fontId="29" fillId="0" borderId="0" xfId="0" applyNumberFormat="1" applyFont="1" applyProtection="1">
      <protection locked="0"/>
    </xf>
    <xf numFmtId="1" fontId="29" fillId="0" borderId="0" xfId="0" applyNumberFormat="1" applyFont="1" applyProtection="1">
      <protection locked="0"/>
    </xf>
    <xf numFmtId="172" fontId="121" fillId="0" borderId="0" xfId="0" applyFont="1" applyProtection="1">
      <protection locked="0"/>
    </xf>
    <xf numFmtId="172" fontId="186" fillId="0" borderId="0" xfId="0" applyFont="1" applyProtection="1">
      <protection locked="0"/>
    </xf>
    <xf numFmtId="172" fontId="121" fillId="0" borderId="3" xfId="0" applyFont="1" applyBorder="1" applyAlignment="1">
      <alignment horizontal="center"/>
    </xf>
    <xf numFmtId="172" fontId="29" fillId="0" borderId="3" xfId="0" applyFont="1" applyBorder="1"/>
    <xf numFmtId="172" fontId="29" fillId="0" borderId="0" xfId="0" applyFont="1" applyAlignment="1" applyProtection="1">
      <alignment wrapText="1"/>
      <protection locked="0"/>
    </xf>
    <xf numFmtId="0" fontId="130" fillId="0" borderId="0" xfId="4473" applyFont="1" applyAlignment="1">
      <alignment horizontal="center"/>
    </xf>
    <xf numFmtId="0" fontId="29" fillId="0" borderId="0" xfId="4472" applyNumberFormat="1" applyFont="1" applyFill="1" applyBorder="1" applyAlignment="1">
      <alignment horizontal="left"/>
    </xf>
    <xf numFmtId="174" fontId="29" fillId="0" borderId="0" xfId="4472" applyNumberFormat="1" applyFont="1" applyFill="1" applyBorder="1"/>
    <xf numFmtId="0" fontId="29" fillId="0" borderId="0" xfId="4472" applyNumberFormat="1" applyFont="1" applyFill="1" applyBorder="1" applyAlignment="1">
      <alignment horizontal="center"/>
    </xf>
    <xf numFmtId="174" fontId="164" fillId="2" borderId="0" xfId="4472" applyNumberFormat="1" applyFont="1" applyFill="1" applyBorder="1"/>
    <xf numFmtId="174" fontId="29" fillId="0" borderId="4" xfId="4472" applyNumberFormat="1" applyFont="1" applyFill="1" applyBorder="1"/>
    <xf numFmtId="172" fontId="29" fillId="0" borderId="4" xfId="0" applyFont="1" applyBorder="1"/>
    <xf numFmtId="172" fontId="121" fillId="0" borderId="0" xfId="0" applyFont="1" applyAlignment="1" applyProtection="1">
      <alignment horizontal="left"/>
      <protection locked="0"/>
    </xf>
    <xf numFmtId="172" fontId="29" fillId="0" borderId="0" xfId="0" applyFont="1" applyAlignment="1" applyProtection="1">
      <alignment horizontal="centerContinuous"/>
      <protection locked="0"/>
    </xf>
    <xf numFmtId="0" fontId="121" fillId="0" borderId="3" xfId="4471" applyFont="1" applyBorder="1" applyAlignment="1">
      <alignment horizontal="center"/>
    </xf>
    <xf numFmtId="172" fontId="164" fillId="2" borderId="27" xfId="0" applyFont="1" applyFill="1" applyBorder="1"/>
    <xf numFmtId="0" fontId="164" fillId="2" borderId="27" xfId="4471" applyFont="1" applyFill="1" applyBorder="1"/>
    <xf numFmtId="174" fontId="164" fillId="2" borderId="27" xfId="190" applyNumberFormat="1" applyFont="1" applyFill="1" applyBorder="1"/>
    <xf numFmtId="37" fontId="164" fillId="2" borderId="27" xfId="0" applyNumberFormat="1" applyFont="1" applyFill="1" applyBorder="1"/>
    <xf numFmtId="39" fontId="164" fillId="2" borderId="27" xfId="0" applyNumberFormat="1" applyFont="1" applyFill="1" applyBorder="1"/>
    <xf numFmtId="172" fontId="164" fillId="2" borderId="46" xfId="0" applyFont="1" applyFill="1" applyBorder="1"/>
    <xf numFmtId="37" fontId="164" fillId="2" borderId="46" xfId="0" applyNumberFormat="1" applyFont="1" applyFill="1" applyBorder="1"/>
    <xf numFmtId="37" fontId="29" fillId="0" borderId="4" xfId="0" applyNumberFormat="1" applyFont="1" applyBorder="1"/>
    <xf numFmtId="37" fontId="29" fillId="0" borderId="0" xfId="0" applyNumberFormat="1" applyFont="1"/>
    <xf numFmtId="172" fontId="182" fillId="0" borderId="0" xfId="0" applyFont="1"/>
    <xf numFmtId="174" fontId="29" fillId="0" borderId="0" xfId="0" applyNumberFormat="1" applyFont="1"/>
    <xf numFmtId="172" fontId="155" fillId="0" borderId="0" xfId="0" applyFont="1"/>
    <xf numFmtId="172" fontId="155" fillId="0" borderId="0" xfId="0" applyFont="1" applyAlignment="1">
      <alignment horizontal="center"/>
    </xf>
    <xf numFmtId="172" fontId="189" fillId="0" borderId="0" xfId="4667" applyNumberFormat="1" applyFont="1" applyAlignment="1">
      <alignment horizontal="center"/>
    </xf>
    <xf numFmtId="172" fontId="187" fillId="0" borderId="0" xfId="4667" applyNumberFormat="1" applyFont="1" applyAlignment="1">
      <alignment horizontal="center"/>
    </xf>
    <xf numFmtId="172" fontId="29" fillId="0" borderId="51" xfId="4667" applyNumberFormat="1" applyFont="1" applyBorder="1" applyAlignment="1"/>
    <xf numFmtId="172" fontId="29" fillId="0" borderId="4" xfId="4667" applyNumberFormat="1" applyFont="1" applyBorder="1" applyAlignment="1"/>
    <xf numFmtId="0" fontId="29" fillId="0" borderId="47" xfId="4667" applyNumberFormat="1" applyFont="1" applyBorder="1" applyAlignment="1"/>
    <xf numFmtId="172" fontId="29" fillId="0" borderId="37" xfId="4667" applyNumberFormat="1" applyFont="1" applyFill="1" applyBorder="1" applyAlignment="1">
      <alignment horizontal="center"/>
    </xf>
    <xf numFmtId="172" fontId="29" fillId="0" borderId="38" xfId="4667" applyNumberFormat="1" applyFont="1" applyFill="1" applyBorder="1" applyAlignment="1">
      <alignment horizontal="center"/>
    </xf>
    <xf numFmtId="172" fontId="29" fillId="0" borderId="37" xfId="4667" applyNumberFormat="1" applyFont="1" applyBorder="1" applyAlignment="1">
      <alignment horizontal="center"/>
    </xf>
    <xf numFmtId="172" fontId="29" fillId="0" borderId="38" xfId="4667" applyNumberFormat="1" applyFont="1" applyBorder="1" applyAlignment="1">
      <alignment horizontal="center"/>
    </xf>
    <xf numFmtId="172" fontId="121" fillId="0" borderId="3" xfId="4667" applyNumberFormat="1" applyFont="1" applyBorder="1" applyAlignment="1">
      <alignment horizontal="center"/>
    </xf>
    <xf numFmtId="172" fontId="29" fillId="0" borderId="56" xfId="4667" applyNumberFormat="1" applyFont="1" applyBorder="1" applyAlignment="1">
      <alignment horizontal="center"/>
    </xf>
    <xf numFmtId="172" fontId="29" fillId="0" borderId="1" xfId="4667" applyNumberFormat="1" applyFont="1" applyBorder="1" applyAlignment="1">
      <alignment horizontal="center"/>
    </xf>
    <xf numFmtId="172" fontId="29" fillId="0" borderId="57" xfId="4667" applyNumberFormat="1" applyFont="1" applyBorder="1" applyAlignment="1">
      <alignment horizontal="center"/>
    </xf>
    <xf numFmtId="164" fontId="29" fillId="0" borderId="0" xfId="4667" applyNumberFormat="1" applyFont="1" applyBorder="1" applyAlignment="1"/>
    <xf numFmtId="193" fontId="29" fillId="0" borderId="0" xfId="4352" applyNumberFormat="1" applyFont="1" applyFill="1" applyBorder="1" applyAlignment="1"/>
    <xf numFmtId="10" fontId="29" fillId="0" borderId="38" xfId="4352" quotePrefix="1" applyNumberFormat="1" applyFont="1" applyBorder="1" applyAlignment="1">
      <alignment horizontal="left"/>
    </xf>
    <xf numFmtId="193" fontId="29" fillId="0" borderId="0" xfId="4667" applyNumberFormat="1" applyFont="1" applyBorder="1" applyAlignment="1"/>
    <xf numFmtId="173" fontId="29" fillId="0" borderId="0" xfId="1" applyNumberFormat="1" applyFont="1" applyFill="1" applyBorder="1" applyAlignment="1" applyProtection="1">
      <alignment vertical="center"/>
      <protection locked="0"/>
    </xf>
    <xf numFmtId="173" fontId="29" fillId="0" borderId="0" xfId="4667" applyNumberFormat="1" applyFont="1" applyFill="1" applyBorder="1" applyAlignment="1"/>
    <xf numFmtId="42" fontId="29" fillId="56" borderId="0" xfId="4667" quotePrefix="1" applyNumberFormat="1" applyFont="1" applyFill="1" applyAlignment="1">
      <alignment horizontal="left"/>
    </xf>
    <xf numFmtId="173" fontId="114" fillId="3" borderId="37" xfId="1" applyNumberFormat="1" applyFont="1" applyFill="1" applyBorder="1" applyAlignment="1" applyProtection="1">
      <alignment vertical="center"/>
      <protection locked="0"/>
    </xf>
    <xf numFmtId="42" fontId="29" fillId="0" borderId="0" xfId="190" applyNumberFormat="1" applyFont="1" applyBorder="1" applyAlignment="1"/>
    <xf numFmtId="42" fontId="29" fillId="0" borderId="0" xfId="190" applyNumberFormat="1" applyFont="1" applyFill="1" applyBorder="1" applyAlignment="1"/>
    <xf numFmtId="42" fontId="29" fillId="0" borderId="38" xfId="190" applyNumberFormat="1" applyFont="1" applyBorder="1" applyAlignment="1"/>
    <xf numFmtId="306" fontId="29" fillId="0" borderId="0" xfId="4667" quotePrefix="1" applyNumberFormat="1" applyFont="1" applyFill="1" applyAlignment="1">
      <alignment horizontal="left"/>
    </xf>
    <xf numFmtId="170" fontId="185" fillId="0" borderId="37" xfId="4667" applyNumberFormat="1" applyFont="1" applyBorder="1" applyAlignment="1"/>
    <xf numFmtId="42" fontId="29" fillId="0" borderId="0" xfId="1" applyNumberFormat="1" applyFont="1" applyFill="1" applyBorder="1" applyAlignment="1"/>
    <xf numFmtId="172" fontId="29" fillId="0" borderId="52" xfId="4667" applyNumberFormat="1" applyFont="1" applyBorder="1" applyAlignment="1"/>
    <xf numFmtId="42" fontId="29" fillId="0" borderId="3" xfId="4667" applyNumberFormat="1" applyFont="1" applyFill="1" applyBorder="1" applyAlignment="1"/>
    <xf numFmtId="42" fontId="29" fillId="0" borderId="53" xfId="4667" applyNumberFormat="1" applyFont="1" applyBorder="1" applyAlignment="1"/>
    <xf numFmtId="41" fontId="29" fillId="0" borderId="0" xfId="4667" applyNumberFormat="1" applyFont="1" applyFill="1" applyAlignment="1"/>
    <xf numFmtId="172" fontId="188" fillId="0" borderId="0" xfId="4667" applyNumberFormat="1" applyFont="1" applyFill="1" applyAlignment="1"/>
    <xf numFmtId="172" fontId="29" fillId="0" borderId="17" xfId="4667" applyNumberFormat="1" applyFont="1" applyFill="1" applyBorder="1" applyAlignment="1">
      <alignment horizontal="center"/>
    </xf>
    <xf numFmtId="172" fontId="29" fillId="0" borderId="17" xfId="4667" quotePrefix="1" applyNumberFormat="1" applyFont="1" applyFill="1" applyBorder="1" applyAlignment="1">
      <alignment horizontal="center"/>
    </xf>
    <xf numFmtId="10" fontId="29" fillId="0" borderId="48" xfId="4352" applyNumberFormat="1" applyFont="1" applyFill="1" applyBorder="1"/>
    <xf numFmtId="10" fontId="29" fillId="56" borderId="51" xfId="4352" applyNumberFormat="1" applyFont="1" applyFill="1" applyBorder="1"/>
    <xf numFmtId="10" fontId="29" fillId="56" borderId="54" xfId="4352" applyNumberFormat="1" applyFont="1" applyFill="1" applyBorder="1"/>
    <xf numFmtId="41" fontId="114" fillId="2" borderId="49" xfId="4352" applyNumberFormat="1" applyFont="1" applyFill="1" applyBorder="1"/>
    <xf numFmtId="174" fontId="29" fillId="0" borderId="17" xfId="190" applyNumberFormat="1" applyFont="1" applyFill="1" applyBorder="1"/>
    <xf numFmtId="172" fontId="187" fillId="0" borderId="0" xfId="4667" applyNumberFormat="1" applyFont="1" applyAlignment="1"/>
    <xf numFmtId="10" fontId="29" fillId="56" borderId="37" xfId="4352" applyNumberFormat="1" applyFont="1" applyFill="1" applyBorder="1"/>
    <xf numFmtId="10" fontId="29" fillId="56" borderId="55" xfId="4352" applyNumberFormat="1" applyFont="1" applyFill="1" applyBorder="1"/>
    <xf numFmtId="10" fontId="29" fillId="56" borderId="52" xfId="4352" applyNumberFormat="1" applyFont="1" applyFill="1" applyBorder="1"/>
    <xf numFmtId="10" fontId="29" fillId="56" borderId="58" xfId="4352" applyNumberFormat="1" applyFont="1" applyFill="1" applyBorder="1"/>
    <xf numFmtId="172" fontId="188" fillId="0" borderId="0" xfId="4667" applyNumberFormat="1" applyFont="1" applyAlignment="1"/>
    <xf numFmtId="10" fontId="29" fillId="0" borderId="17" xfId="4352" applyNumberFormat="1" applyFont="1" applyFill="1" applyBorder="1"/>
    <xf numFmtId="10" fontId="29" fillId="0" borderId="58" xfId="4352" applyNumberFormat="1" applyFont="1" applyFill="1" applyBorder="1"/>
    <xf numFmtId="41" fontId="29" fillId="0" borderId="52" xfId="4352" applyNumberFormat="1" applyFont="1" applyFill="1" applyBorder="1"/>
    <xf numFmtId="308" fontId="29" fillId="0" borderId="52" xfId="4352" applyNumberFormat="1" applyFont="1" applyFill="1" applyBorder="1"/>
    <xf numFmtId="174" fontId="29" fillId="0" borderId="49" xfId="190" applyNumberFormat="1" applyFont="1" applyFill="1" applyBorder="1"/>
    <xf numFmtId="172" fontId="29" fillId="0" borderId="17" xfId="4667" applyNumberFormat="1" applyFont="1" applyFill="1" applyBorder="1" applyAlignment="1">
      <alignment horizontal="right"/>
    </xf>
    <xf numFmtId="174" fontId="29" fillId="0" borderId="17" xfId="4667" applyNumberFormat="1" applyFont="1" applyFill="1" applyBorder="1"/>
    <xf numFmtId="174" fontId="29" fillId="0" borderId="48" xfId="4667" applyNumberFormat="1" applyFont="1" applyFill="1" applyBorder="1"/>
    <xf numFmtId="174" fontId="29" fillId="0" borderId="49" xfId="4667" applyNumberFormat="1" applyFont="1" applyFill="1" applyBorder="1"/>
    <xf numFmtId="308" fontId="29" fillId="0" borderId="49" xfId="4667" applyNumberFormat="1" applyFont="1" applyFill="1" applyBorder="1"/>
    <xf numFmtId="172" fontId="29" fillId="0" borderId="0" xfId="4667" applyNumberFormat="1" applyFont="1" applyFill="1" applyAlignment="1">
      <alignment vertical="top"/>
    </xf>
    <xf numFmtId="172" fontId="29" fillId="0" borderId="0" xfId="4667" applyNumberFormat="1" applyFont="1" applyAlignment="1">
      <alignment horizontal="left" vertical="top"/>
    </xf>
    <xf numFmtId="172" fontId="121" fillId="0" borderId="0" xfId="4667" applyNumberFormat="1" applyFont="1" applyFill="1" applyAlignment="1"/>
    <xf numFmtId="172" fontId="114" fillId="0" borderId="0" xfId="4667" applyNumberFormat="1" applyFont="1" applyFill="1" applyAlignment="1"/>
    <xf numFmtId="172" fontId="114" fillId="0" borderId="0" xfId="4667" applyNumberFormat="1" applyFont="1" applyAlignment="1"/>
    <xf numFmtId="172" fontId="190" fillId="0" borderId="0" xfId="4667" applyNumberFormat="1" applyFont="1" applyFill="1" applyAlignment="1"/>
    <xf numFmtId="44" fontId="29" fillId="0" borderId="0" xfId="1" applyFont="1" applyFill="1" applyBorder="1" applyAlignment="1"/>
    <xf numFmtId="174" fontId="164" fillId="3" borderId="0" xfId="4665" applyNumberFormat="1" applyFont="1" applyFill="1" applyAlignment="1"/>
    <xf numFmtId="174" fontId="164" fillId="0" borderId="0" xfId="4665" applyNumberFormat="1" applyFont="1" applyFill="1" applyAlignment="1"/>
    <xf numFmtId="174" fontId="29" fillId="0" borderId="0" xfId="4665" applyNumberFormat="1" applyFont="1" applyFill="1" applyAlignment="1"/>
    <xf numFmtId="173" fontId="121" fillId="0" borderId="15" xfId="4476" applyNumberFormat="1" applyFont="1" applyBorder="1" applyAlignment="1">
      <alignment wrapText="1"/>
    </xf>
    <xf numFmtId="2" fontId="29" fillId="0" borderId="0" xfId="0" applyNumberFormat="1" applyFont="1" applyProtection="1"/>
    <xf numFmtId="165" fontId="29" fillId="0" borderId="4" xfId="0" applyNumberFormat="1" applyFont="1" applyBorder="1" applyProtection="1"/>
    <xf numFmtId="0" fontId="164" fillId="3" borderId="0" xfId="4671" applyFont="1" applyFill="1" applyAlignment="1">
      <alignment horizontal="left" indent="1"/>
    </xf>
    <xf numFmtId="0" fontId="164" fillId="3" borderId="0" xfId="4671" applyFont="1" applyFill="1" applyAlignment="1">
      <alignment horizontal="left"/>
    </xf>
    <xf numFmtId="37" fontId="164" fillId="3" borderId="0" xfId="4671" applyNumberFormat="1" applyFont="1" applyFill="1" applyAlignment="1">
      <alignment horizontal="left"/>
    </xf>
    <xf numFmtId="172" fontId="29" fillId="0" borderId="0" xfId="4667" applyNumberFormat="1" applyFont="1" applyFill="1" applyAlignment="1">
      <alignment horizontal="left" vertical="top" wrapText="1"/>
    </xf>
    <xf numFmtId="43" fontId="176" fillId="0" borderId="0" xfId="190" applyFont="1" applyBorder="1" applyAlignment="1">
      <alignment horizontal="right" vertical="center" wrapText="1"/>
    </xf>
    <xf numFmtId="43" fontId="176" fillId="0" borderId="0" xfId="190" applyFont="1" applyBorder="1" applyAlignment="1">
      <alignment vertical="center" wrapText="1"/>
    </xf>
    <xf numFmtId="174" fontId="176" fillId="0" borderId="0" xfId="190" applyNumberFormat="1" applyFont="1"/>
    <xf numFmtId="174" fontId="29" fillId="0" borderId="0" xfId="190" applyNumberFormat="1" applyFont="1" applyFill="1" applyAlignment="1">
      <alignment horizontal="center"/>
    </xf>
    <xf numFmtId="249" fontId="176" fillId="0" borderId="0" xfId="190" applyNumberFormat="1" applyFont="1"/>
    <xf numFmtId="249" fontId="176" fillId="0" borderId="0" xfId="190" applyNumberFormat="1" applyFont="1" applyBorder="1" applyAlignment="1">
      <alignment horizontal="right" vertical="center" wrapText="1"/>
    </xf>
    <xf numFmtId="49" fontId="29" fillId="0" borderId="0" xfId="4" applyNumberFormat="1" applyFont="1" applyAlignment="1">
      <alignment horizontal="center"/>
    </xf>
    <xf numFmtId="172" fontId="121" fillId="0" borderId="0" xfId="4667" applyNumberFormat="1" applyFont="1" applyFill="1" applyBorder="1" applyAlignment="1">
      <alignment horizontal="center"/>
    </xf>
    <xf numFmtId="164" fontId="114" fillId="3" borderId="37" xfId="4666" applyNumberFormat="1" applyFont="1" applyFill="1" applyBorder="1" applyAlignment="1" applyProtection="1">
      <alignment vertical="center"/>
      <protection locked="0"/>
    </xf>
    <xf numFmtId="10" fontId="29" fillId="0" borderId="52" xfId="4352" quotePrefix="1" applyNumberFormat="1" applyFont="1" applyBorder="1" applyAlignment="1">
      <alignment horizontal="center"/>
    </xf>
    <xf numFmtId="10" fontId="29" fillId="0" borderId="3" xfId="4352" quotePrefix="1" applyNumberFormat="1" applyFont="1" applyBorder="1" applyAlignment="1">
      <alignment horizontal="center"/>
    </xf>
    <xf numFmtId="172" fontId="29" fillId="0" borderId="3" xfId="4667" applyNumberFormat="1" applyFont="1" applyBorder="1" applyAlignment="1">
      <alignment horizontal="center"/>
    </xf>
    <xf numFmtId="174" fontId="29" fillId="0" borderId="4" xfId="4665" applyNumberFormat="1" applyFont="1" applyBorder="1" applyAlignment="1"/>
    <xf numFmtId="172" fontId="29" fillId="0" borderId="52" xfId="4667" applyNumberFormat="1" applyFont="1" applyBorder="1" applyAlignment="1">
      <alignment horizontal="center"/>
    </xf>
    <xf numFmtId="172" fontId="29" fillId="0" borderId="53" xfId="4667" applyNumberFormat="1" applyFont="1" applyBorder="1" applyAlignment="1">
      <alignment horizontal="center"/>
    </xf>
    <xf numFmtId="172" fontId="121" fillId="0" borderId="0" xfId="4667" applyNumberFormat="1" applyFont="1" applyFill="1" applyBorder="1" applyAlignment="1">
      <alignment horizontal="center" vertical="center"/>
    </xf>
    <xf numFmtId="172" fontId="29" fillId="0" borderId="0" xfId="4667" applyNumberFormat="1" applyFont="1" applyFill="1" applyAlignment="1">
      <alignment horizontal="center" vertical="center"/>
    </xf>
    <xf numFmtId="172" fontId="29" fillId="0" borderId="0" xfId="4667" applyNumberFormat="1" applyFont="1" applyAlignment="1">
      <alignment horizontal="center" vertical="center"/>
    </xf>
    <xf numFmtId="0" fontId="29" fillId="0" borderId="0" xfId="4667" applyNumberFormat="1" applyFont="1" applyAlignment="1">
      <alignment horizontal="center" vertical="center"/>
    </xf>
    <xf numFmtId="172" fontId="121" fillId="0" borderId="3" xfId="4667" applyNumberFormat="1" applyFont="1" applyBorder="1" applyAlignment="1">
      <alignment horizontal="center" vertical="center"/>
    </xf>
    <xf numFmtId="172" fontId="29" fillId="0" borderId="0" xfId="4667" applyNumberFormat="1" applyFont="1" applyFill="1" applyAlignment="1">
      <alignment vertical="top" wrapText="1"/>
    </xf>
    <xf numFmtId="249" fontId="176" fillId="0" borderId="0" xfId="4665" applyNumberFormat="1" applyFont="1"/>
    <xf numFmtId="172" fontId="29" fillId="0" borderId="47" xfId="4667" applyNumberFormat="1" applyFont="1" applyFill="1" applyBorder="1" applyAlignment="1">
      <alignment horizontal="center"/>
    </xf>
    <xf numFmtId="311" fontId="29" fillId="0" borderId="0" xfId="4667" applyNumberFormat="1" applyFont="1" applyAlignment="1"/>
    <xf numFmtId="172" fontId="29" fillId="3" borderId="37" xfId="4667" applyNumberFormat="1" applyFont="1" applyFill="1" applyBorder="1" applyAlignment="1">
      <alignment horizontal="right" wrapText="1"/>
    </xf>
    <xf numFmtId="44" fontId="29" fillId="0" borderId="0" xfId="1" applyFont="1" applyAlignment="1" applyProtection="1">
      <protection locked="0"/>
    </xf>
    <xf numFmtId="312" fontId="29" fillId="0" borderId="0" xfId="1" applyNumberFormat="1" applyFont="1" applyAlignment="1" applyProtection="1">
      <protection locked="0"/>
    </xf>
    <xf numFmtId="313" fontId="29" fillId="0" borderId="0" xfId="0" applyNumberFormat="1" applyFont="1" applyProtection="1">
      <protection locked="0"/>
    </xf>
    <xf numFmtId="172" fontId="29" fillId="0" borderId="51" xfId="4667" applyNumberFormat="1" applyFont="1" applyFill="1" applyBorder="1" applyAlignment="1">
      <alignment horizontal="center"/>
    </xf>
    <xf numFmtId="172" fontId="29" fillId="0" borderId="4" xfId="4667" applyNumberFormat="1" applyFont="1" applyFill="1" applyBorder="1" applyAlignment="1">
      <alignment horizontal="center"/>
    </xf>
    <xf numFmtId="305" fontId="29" fillId="0" borderId="0" xfId="4665" applyNumberFormat="1" applyFont="1"/>
    <xf numFmtId="170" fontId="29" fillId="0" borderId="0" xfId="0" applyNumberFormat="1" applyFont="1"/>
    <xf numFmtId="174" fontId="176" fillId="0" borderId="0" xfId="4665" applyNumberFormat="1" applyFont="1" applyBorder="1" applyAlignment="1">
      <alignment horizontal="center" vertical="center" wrapText="1"/>
    </xf>
    <xf numFmtId="174" fontId="176" fillId="0" borderId="0" xfId="190" applyNumberFormat="1" applyFont="1" applyBorder="1" applyAlignment="1">
      <alignment vertical="center" wrapText="1"/>
    </xf>
    <xf numFmtId="41" fontId="29" fillId="77" borderId="4" xfId="1" applyNumberFormat="1" applyFont="1" applyFill="1" applyBorder="1" applyAlignment="1" applyProtection="1">
      <protection locked="0"/>
    </xf>
    <xf numFmtId="41" fontId="29" fillId="0" borderId="0" xfId="1" applyNumberFormat="1" applyFont="1" applyFill="1" applyAlignment="1" applyProtection="1">
      <protection locked="0"/>
    </xf>
    <xf numFmtId="41" fontId="29" fillId="0" borderId="4" xfId="1" applyNumberFormat="1" applyFont="1" applyFill="1" applyBorder="1" applyAlignment="1" applyProtection="1">
      <protection locked="0"/>
    </xf>
    <xf numFmtId="310" fontId="29" fillId="0" borderId="0" xfId="1" applyNumberFormat="1" applyFont="1" applyFill="1" applyAlignment="1" applyProtection="1">
      <protection locked="0"/>
    </xf>
    <xf numFmtId="172" fontId="29" fillId="0" borderId="47" xfId="4667" applyNumberFormat="1" applyFont="1" applyFill="1" applyBorder="1" applyAlignment="1"/>
    <xf numFmtId="174" fontId="29" fillId="0" borderId="4" xfId="4665" applyNumberFormat="1" applyFont="1" applyFill="1" applyBorder="1" applyAlignment="1"/>
    <xf numFmtId="41" fontId="164" fillId="3" borderId="0" xfId="1" applyNumberFormat="1" applyFont="1" applyFill="1" applyBorder="1" applyAlignment="1" applyProtection="1">
      <protection locked="0"/>
    </xf>
    <xf numFmtId="3" fontId="29" fillId="0" borderId="0" xfId="0" quotePrefix="1" applyNumberFormat="1" applyFont="1" applyProtection="1"/>
    <xf numFmtId="0" fontId="29" fillId="0" borderId="0" xfId="4" quotePrefix="1" applyFont="1"/>
    <xf numFmtId="172" fontId="178" fillId="0" borderId="0" xfId="0" applyFont="1"/>
    <xf numFmtId="0" fontId="29" fillId="0" borderId="0" xfId="0" applyNumberFormat="1" applyFont="1" applyAlignment="1" applyProtection="1">
      <alignment horizontal="center" vertical="top" wrapText="1"/>
      <protection locked="0"/>
    </xf>
    <xf numFmtId="172" fontId="29" fillId="0" borderId="47" xfId="0" applyFont="1" applyBorder="1"/>
    <xf numFmtId="173" fontId="29" fillId="0" borderId="17" xfId="0" applyNumberFormat="1" applyFont="1" applyBorder="1"/>
    <xf numFmtId="174" fontId="29" fillId="0" borderId="0" xfId="190" applyNumberFormat="1" applyFont="1" applyBorder="1"/>
    <xf numFmtId="174" fontId="29" fillId="0" borderId="0" xfId="190" applyNumberFormat="1" applyFont="1" applyBorder="1" applyAlignment="1">
      <alignment horizontal="right"/>
    </xf>
    <xf numFmtId="271" fontId="29" fillId="0" borderId="0" xfId="190" applyNumberFormat="1" applyFont="1" applyBorder="1"/>
    <xf numFmtId="174" fontId="29" fillId="0" borderId="15" xfId="190" applyNumberFormat="1" applyFont="1" applyBorder="1"/>
    <xf numFmtId="41" fontId="29" fillId="0" borderId="0" xfId="4598" applyNumberFormat="1" applyFont="1"/>
    <xf numFmtId="0" fontId="121" fillId="0" borderId="49" xfId="4598" applyFont="1" applyBorder="1"/>
    <xf numFmtId="0" fontId="121" fillId="0" borderId="17" xfId="4598" applyFont="1" applyBorder="1"/>
    <xf numFmtId="0" fontId="29" fillId="0" borderId="0" xfId="4598" applyFont="1" applyAlignment="1">
      <alignment horizontal="center" wrapText="1"/>
    </xf>
    <xf numFmtId="49" fontId="121" fillId="0" borderId="0" xfId="4" applyNumberFormat="1" applyFont="1" applyAlignment="1">
      <alignment horizontal="center"/>
    </xf>
    <xf numFmtId="0" fontId="121" fillId="0" borderId="0" xfId="4690" applyFont="1"/>
    <xf numFmtId="0" fontId="176" fillId="0" borderId="0" xfId="4690" applyFont="1"/>
    <xf numFmtId="0" fontId="176" fillId="0" borderId="0" xfId="4690" applyFont="1" applyAlignment="1">
      <alignment horizontal="right"/>
    </xf>
    <xf numFmtId="0" fontId="176" fillId="0" borderId="0" xfId="4690" applyFont="1" applyAlignment="1">
      <alignment horizontal="center"/>
    </xf>
    <xf numFmtId="0" fontId="192" fillId="0" borderId="0" xfId="4690" applyFont="1"/>
    <xf numFmtId="0" fontId="192" fillId="0" borderId="0" xfId="4690" applyFont="1" applyAlignment="1">
      <alignment vertical="center"/>
    </xf>
    <xf numFmtId="0" fontId="192" fillId="0" borderId="0" xfId="4690" applyFont="1" applyAlignment="1">
      <alignment horizontal="center" vertical="center"/>
    </xf>
    <xf numFmtId="0" fontId="192" fillId="0" borderId="0" xfId="4690" applyFont="1" applyAlignment="1">
      <alignment horizontal="center" vertical="center" wrapText="1"/>
    </xf>
    <xf numFmtId="0" fontId="192" fillId="0" borderId="54" xfId="4690" applyFont="1" applyBorder="1" applyAlignment="1">
      <alignment horizontal="center" vertical="center"/>
    </xf>
    <xf numFmtId="0" fontId="176" fillId="0" borderId="58" xfId="4690" applyFont="1" applyBorder="1" applyAlignment="1">
      <alignment horizontal="center" vertical="center" wrapText="1"/>
    </xf>
    <xf numFmtId="0" fontId="176" fillId="0" borderId="0" xfId="4690" applyFont="1" applyAlignment="1">
      <alignment horizontal="center" vertical="center" wrapText="1"/>
    </xf>
    <xf numFmtId="0" fontId="176" fillId="0" borderId="0" xfId="4690" applyFont="1" applyAlignment="1">
      <alignment horizontal="left" vertical="center"/>
    </xf>
    <xf numFmtId="15" fontId="176" fillId="0" borderId="0" xfId="4690" applyNumberFormat="1" applyFont="1" applyAlignment="1">
      <alignment vertical="center" wrapText="1"/>
    </xf>
    <xf numFmtId="174" fontId="176" fillId="0" borderId="0" xfId="4691" applyNumberFormat="1" applyFont="1" applyBorder="1" applyAlignment="1">
      <alignment horizontal="right" vertical="center" wrapText="1"/>
    </xf>
    <xf numFmtId="174" fontId="176" fillId="0" borderId="0" xfId="4691" applyNumberFormat="1" applyFont="1" applyBorder="1" applyAlignment="1">
      <alignment vertical="center" wrapText="1"/>
    </xf>
    <xf numFmtId="174" fontId="176" fillId="3" borderId="0" xfId="4692" applyNumberFormat="1" applyFont="1" applyFill="1" applyBorder="1" applyAlignment="1">
      <alignment horizontal="right" vertical="center" wrapText="1"/>
    </xf>
    <xf numFmtId="174" fontId="176" fillId="0" borderId="0" xfId="4691" applyNumberFormat="1" applyFont="1" applyFill="1" applyBorder="1" applyAlignment="1">
      <alignment horizontal="center" vertical="center" wrapText="1"/>
    </xf>
    <xf numFmtId="174" fontId="176" fillId="0" borderId="0" xfId="4692" applyNumberFormat="1" applyFont="1" applyBorder="1" applyAlignment="1">
      <alignment vertical="center" wrapText="1"/>
    </xf>
    <xf numFmtId="174" fontId="176" fillId="3" borderId="0" xfId="4692" applyNumberFormat="1" applyFont="1" applyFill="1" applyBorder="1" applyAlignment="1">
      <alignment vertical="center" wrapText="1"/>
    </xf>
    <xf numFmtId="0" fontId="176" fillId="0" borderId="4" xfId="4690" applyFont="1" applyBorder="1" applyAlignment="1">
      <alignment vertical="center" wrapText="1"/>
    </xf>
    <xf numFmtId="0" fontId="176" fillId="0" borderId="4" xfId="4690" applyFont="1" applyBorder="1" applyAlignment="1">
      <alignment horizontal="right" vertical="center" wrapText="1"/>
    </xf>
    <xf numFmtId="174" fontId="176" fillId="0" borderId="4" xfId="4691" applyNumberFormat="1" applyFont="1" applyBorder="1" applyAlignment="1">
      <alignment vertical="center" wrapText="1"/>
    </xf>
    <xf numFmtId="0" fontId="176" fillId="0" borderId="0" xfId="4690" applyFont="1" applyAlignment="1">
      <alignment vertical="center" wrapText="1"/>
    </xf>
    <xf numFmtId="0" fontId="176" fillId="0" borderId="0" xfId="4690" applyFont="1" applyAlignment="1">
      <alignment horizontal="right" vertical="center" wrapText="1"/>
    </xf>
    <xf numFmtId="0" fontId="176" fillId="0" borderId="0" xfId="4690" applyFont="1" applyAlignment="1">
      <alignment horizontal="justify" vertical="center" wrapText="1"/>
    </xf>
    <xf numFmtId="174" fontId="176" fillId="0" borderId="0" xfId="4691" applyNumberFormat="1" applyFont="1" applyFill="1" applyBorder="1" applyAlignment="1">
      <alignment vertical="center" wrapText="1"/>
    </xf>
    <xf numFmtId="174" fontId="176" fillId="0" borderId="4" xfId="4691" applyNumberFormat="1" applyFont="1" applyFill="1" applyBorder="1" applyAlignment="1">
      <alignment vertical="center" wrapText="1"/>
    </xf>
    <xf numFmtId="174" fontId="192" fillId="0" borderId="0" xfId="4690" applyNumberFormat="1" applyFont="1"/>
    <xf numFmtId="0" fontId="193" fillId="0" borderId="0" xfId="4690" applyFont="1" applyAlignment="1">
      <alignment horizontal="center"/>
    </xf>
    <xf numFmtId="174" fontId="192" fillId="0" borderId="0" xfId="4691" applyNumberFormat="1" applyFont="1" applyFill="1" applyBorder="1" applyAlignment="1">
      <alignment horizontal="center" vertical="center" wrapText="1"/>
    </xf>
    <xf numFmtId="0" fontId="192" fillId="0" borderId="0" xfId="4690" applyFont="1" applyAlignment="1">
      <alignment horizontal="center"/>
    </xf>
    <xf numFmtId="0" fontId="176" fillId="0" borderId="0" xfId="4693" applyFont="1"/>
    <xf numFmtId="174" fontId="176" fillId="0" borderId="0" xfId="4693" applyNumberFormat="1" applyFont="1"/>
    <xf numFmtId="174" fontId="176" fillId="0" borderId="0" xfId="4692" applyNumberFormat="1" applyFont="1" applyBorder="1" applyAlignment="1">
      <alignment horizontal="right" vertical="center" wrapText="1"/>
    </xf>
    <xf numFmtId="174" fontId="176" fillId="0" borderId="0" xfId="4690" applyNumberFormat="1" applyFont="1" applyAlignment="1">
      <alignment horizontal="center"/>
    </xf>
    <xf numFmtId="43" fontId="176" fillId="0" borderId="0" xfId="4690" applyNumberFormat="1" applyFont="1"/>
    <xf numFmtId="174" fontId="176" fillId="0" borderId="0" xfId="4692" applyNumberFormat="1" applyFont="1" applyFill="1" applyBorder="1" applyAlignment="1">
      <alignment vertical="center" wrapText="1"/>
    </xf>
    <xf numFmtId="174" fontId="176" fillId="0" borderId="0" xfId="4690" applyNumberFormat="1" applyFont="1"/>
    <xf numFmtId="0" fontId="191" fillId="0" borderId="0" xfId="4690" applyFont="1"/>
    <xf numFmtId="174" fontId="176" fillId="0" borderId="0" xfId="4692" applyNumberFormat="1" applyFont="1" applyFill="1" applyBorder="1" applyAlignment="1">
      <alignment horizontal="right" vertical="center" wrapText="1"/>
    </xf>
    <xf numFmtId="44" fontId="29" fillId="0" borderId="3" xfId="4667" applyNumberFormat="1" applyFont="1" applyBorder="1" applyAlignment="1"/>
    <xf numFmtId="9" fontId="176" fillId="0" borderId="0" xfId="4690" applyNumberFormat="1" applyFont="1"/>
    <xf numFmtId="174" fontId="176" fillId="0" borderId="0" xfId="4665" applyNumberFormat="1" applyFont="1"/>
    <xf numFmtId="174" fontId="176" fillId="0" borderId="0" xfId="4690" applyNumberFormat="1" applyFont="1" applyAlignment="1">
      <alignment horizontal="justify" vertical="center" wrapText="1"/>
    </xf>
    <xf numFmtId="165" fontId="29" fillId="3" borderId="0" xfId="0" applyNumberFormat="1" applyFont="1" applyFill="1" applyProtection="1"/>
    <xf numFmtId="164" fontId="176" fillId="0" borderId="0" xfId="4666" applyNumberFormat="1" applyFont="1" applyFill="1"/>
    <xf numFmtId="174" fontId="192" fillId="0" borderId="4" xfId="4690" applyNumberFormat="1" applyFont="1" applyBorder="1"/>
    <xf numFmtId="0" fontId="29" fillId="0" borderId="0" xfId="4" applyFont="1" applyAlignment="1">
      <alignment horizontal="left"/>
    </xf>
    <xf numFmtId="9" fontId="164" fillId="3" borderId="0" xfId="4666" applyFont="1" applyFill="1" applyAlignment="1"/>
    <xf numFmtId="174" fontId="29" fillId="0" borderId="0" xfId="190" applyNumberFormat="1" applyFont="1" applyFill="1" applyBorder="1" applyAlignment="1">
      <alignment horizontal="right"/>
    </xf>
    <xf numFmtId="271" fontId="29" fillId="0" borderId="0" xfId="190" applyNumberFormat="1" applyFont="1" applyFill="1" applyBorder="1"/>
    <xf numFmtId="172" fontId="29" fillId="0" borderId="0" xfId="0" applyFont="1" applyAlignment="1">
      <alignment horizontal="left"/>
    </xf>
    <xf numFmtId="174" fontId="121" fillId="0" borderId="0" xfId="190" applyNumberFormat="1" applyFont="1" applyFill="1" applyBorder="1" applyAlignment="1">
      <alignment horizontal="right"/>
    </xf>
    <xf numFmtId="44" fontId="121" fillId="0" borderId="0" xfId="0" applyNumberFormat="1" applyFont="1"/>
    <xf numFmtId="174" fontId="121" fillId="0" borderId="15" xfId="190" applyNumberFormat="1" applyFont="1" applyFill="1" applyBorder="1"/>
    <xf numFmtId="0" fontId="155" fillId="0" borderId="0" xfId="4476" applyFont="1" applyAlignment="1">
      <alignment horizontal="center"/>
    </xf>
    <xf numFmtId="14" fontId="164" fillId="80" borderId="0" xfId="0" applyNumberFormat="1" applyFont="1" applyFill="1" applyProtection="1">
      <protection locked="0"/>
    </xf>
    <xf numFmtId="173" fontId="164" fillId="80" borderId="0" xfId="1" applyNumberFormat="1" applyFont="1" applyFill="1" applyAlignment="1" applyProtection="1">
      <protection locked="0"/>
    </xf>
    <xf numFmtId="0" fontId="164" fillId="80" borderId="0" xfId="4" applyFont="1" applyFill="1"/>
    <xf numFmtId="173" fontId="29" fillId="0" borderId="4" xfId="1" applyNumberFormat="1" applyFont="1" applyBorder="1"/>
    <xf numFmtId="173" fontId="29" fillId="0" borderId="17" xfId="1" applyNumberFormat="1" applyFont="1" applyBorder="1"/>
    <xf numFmtId="14" fontId="164" fillId="80" borderId="0" xfId="0" applyNumberFormat="1" applyFont="1" applyFill="1" applyAlignment="1" applyProtection="1">
      <alignment horizontal="center"/>
      <protection locked="0"/>
    </xf>
    <xf numFmtId="174" fontId="164" fillId="80" borderId="0" xfId="4665" applyNumberFormat="1" applyFont="1" applyFill="1" applyAlignment="1" applyProtection="1">
      <protection locked="0"/>
    </xf>
    <xf numFmtId="173" fontId="29" fillId="0" borderId="47" xfId="1" applyNumberFormat="1" applyFont="1" applyBorder="1"/>
    <xf numFmtId="173" fontId="29" fillId="0" borderId="0" xfId="1" applyNumberFormat="1" applyFont="1" applyFill="1" applyAlignment="1" applyProtection="1">
      <protection locked="0"/>
    </xf>
    <xf numFmtId="174" fontId="29" fillId="0" borderId="0" xfId="4665" applyNumberFormat="1" applyFont="1" applyFill="1" applyAlignment="1" applyProtection="1">
      <protection locked="0"/>
    </xf>
    <xf numFmtId="173" fontId="29" fillId="0" borderId="17" xfId="1" applyNumberFormat="1" applyFont="1" applyFill="1" applyBorder="1"/>
    <xf numFmtId="271" fontId="29" fillId="0" borderId="0" xfId="4665" applyNumberFormat="1" applyFont="1"/>
    <xf numFmtId="170" fontId="29" fillId="0" borderId="4" xfId="0" applyNumberFormat="1" applyFont="1" applyBorder="1"/>
    <xf numFmtId="174" fontId="29" fillId="0" borderId="17" xfId="190" applyNumberFormat="1" applyFont="1" applyFill="1" applyBorder="1" applyAlignment="1"/>
    <xf numFmtId="170" fontId="29" fillId="0" borderId="17" xfId="0" applyNumberFormat="1" applyFont="1" applyBorder="1"/>
    <xf numFmtId="14" fontId="29" fillId="0" borderId="0" xfId="0" applyNumberFormat="1" applyFont="1" applyAlignment="1" applyProtection="1">
      <alignment horizontal="center"/>
      <protection locked="0"/>
    </xf>
    <xf numFmtId="271" fontId="29" fillId="0" borderId="0" xfId="4665" applyNumberFormat="1" applyFont="1" applyFill="1" applyAlignment="1" applyProtection="1">
      <protection locked="0"/>
    </xf>
    <xf numFmtId="305" fontId="29" fillId="0" borderId="0" xfId="4665" applyNumberFormat="1" applyFont="1" applyFill="1" applyAlignment="1" applyProtection="1">
      <protection locked="0"/>
    </xf>
    <xf numFmtId="174" fontId="29" fillId="0" borderId="14" xfId="190" applyNumberFormat="1" applyFont="1" applyFill="1" applyBorder="1"/>
    <xf numFmtId="0" fontId="29" fillId="0" borderId="0" xfId="4476" applyFont="1" applyAlignment="1">
      <alignment vertical="top"/>
    </xf>
    <xf numFmtId="172" fontId="177" fillId="0" borderId="3" xfId="0" applyFont="1" applyBorder="1" applyAlignment="1">
      <alignment horizontal="center" wrapText="1"/>
    </xf>
    <xf numFmtId="42" fontId="177" fillId="0" borderId="0" xfId="1" applyNumberFormat="1" applyFont="1" applyFill="1" applyBorder="1" applyAlignment="1"/>
    <xf numFmtId="271" fontId="164" fillId="3" borderId="0" xfId="190" applyNumberFormat="1" applyFont="1" applyFill="1" applyAlignment="1"/>
    <xf numFmtId="0" fontId="176" fillId="81" borderId="0" xfId="4690" applyFont="1" applyFill="1"/>
    <xf numFmtId="172" fontId="121" fillId="0" borderId="17" xfId="0" applyFont="1" applyBorder="1" applyAlignment="1">
      <alignment horizontal="center"/>
    </xf>
    <xf numFmtId="174" fontId="29" fillId="74" borderId="1" xfId="4665" applyNumberFormat="1" applyFont="1" applyFill="1" applyBorder="1" applyAlignment="1"/>
    <xf numFmtId="173" fontId="29" fillId="0" borderId="0" xfId="1" applyNumberFormat="1" applyFont="1" applyBorder="1"/>
    <xf numFmtId="10" fontId="29" fillId="0" borderId="0" xfId="3" applyNumberFormat="1" applyFont="1" applyFill="1" applyBorder="1" applyAlignment="1">
      <alignment horizontal="center"/>
    </xf>
    <xf numFmtId="3" fontId="29" fillId="3" borderId="0" xfId="0" applyNumberFormat="1" applyFont="1" applyFill="1" applyProtection="1"/>
    <xf numFmtId="10" fontId="29" fillId="0" borderId="53" xfId="4352" quotePrefix="1" applyNumberFormat="1" applyFont="1" applyBorder="1" applyAlignment="1">
      <alignment horizontal="center"/>
    </xf>
    <xf numFmtId="172" fontId="29" fillId="0" borderId="38" xfId="4667" applyNumberFormat="1" applyFont="1" applyFill="1" applyBorder="1" applyAlignment="1"/>
    <xf numFmtId="41" fontId="164" fillId="3" borderId="38" xfId="1" applyNumberFormat="1" applyFont="1" applyFill="1" applyBorder="1" applyAlignment="1" applyProtection="1">
      <protection locked="0"/>
    </xf>
    <xf numFmtId="42" fontId="29" fillId="0" borderId="37" xfId="190" applyNumberFormat="1" applyFont="1" applyBorder="1" applyAlignment="1"/>
    <xf numFmtId="172" fontId="29" fillId="79" borderId="38" xfId="4667" applyNumberFormat="1" applyFont="1" applyFill="1" applyBorder="1" applyAlignment="1"/>
    <xf numFmtId="172" fontId="29" fillId="79" borderId="0" xfId="4667" applyNumberFormat="1" applyFont="1" applyFill="1" applyBorder="1" applyAlignment="1"/>
    <xf numFmtId="42" fontId="29" fillId="0" borderId="37" xfId="4667" applyNumberFormat="1" applyFont="1" applyBorder="1" applyAlignment="1"/>
    <xf numFmtId="174" fontId="29" fillId="0" borderId="47" xfId="4665" applyNumberFormat="1" applyFont="1" applyFill="1" applyBorder="1" applyAlignment="1"/>
    <xf numFmtId="42" fontId="29" fillId="0" borderId="52" xfId="4667" applyNumberFormat="1" applyFont="1" applyBorder="1" applyAlignment="1"/>
    <xf numFmtId="42" fontId="29" fillId="0" borderId="3" xfId="4667" applyNumberFormat="1" applyFont="1" applyBorder="1" applyAlignment="1"/>
    <xf numFmtId="173" fontId="29" fillId="0" borderId="3" xfId="1" applyNumberFormat="1" applyFont="1" applyFill="1" applyBorder="1" applyAlignment="1"/>
    <xf numFmtId="172" fontId="29" fillId="0" borderId="3" xfId="4667" applyNumberFormat="1" applyFont="1" applyBorder="1" applyAlignment="1"/>
    <xf numFmtId="173" fontId="29" fillId="0" borderId="53" xfId="1" applyNumberFormat="1" applyFont="1" applyFill="1" applyBorder="1" applyAlignment="1"/>
    <xf numFmtId="170" fontId="29" fillId="0" borderId="37" xfId="4667" applyNumberFormat="1" applyFont="1" applyBorder="1" applyAlignment="1"/>
    <xf numFmtId="174" fontId="29" fillId="0" borderId="0" xfId="4665" applyNumberFormat="1" applyFont="1" applyBorder="1" applyAlignment="1"/>
    <xf numFmtId="237" fontId="29" fillId="0" borderId="0" xfId="4666" applyNumberFormat="1" applyFont="1" applyBorder="1" applyAlignment="1"/>
    <xf numFmtId="174" fontId="29" fillId="0" borderId="38" xfId="4665" applyNumberFormat="1" applyFont="1" applyBorder="1" applyAlignment="1"/>
    <xf numFmtId="172" fontId="29" fillId="79" borderId="37" xfId="4667" applyNumberFormat="1" applyFont="1" applyFill="1" applyBorder="1" applyAlignment="1"/>
    <xf numFmtId="174" fontId="29" fillId="0" borderId="51" xfId="4665" applyNumberFormat="1" applyFont="1" applyBorder="1" applyAlignment="1"/>
    <xf numFmtId="174" fontId="29" fillId="0" borderId="47" xfId="4665" applyNumberFormat="1" applyFont="1" applyBorder="1" applyAlignment="1"/>
    <xf numFmtId="172" fontId="29" fillId="0" borderId="53" xfId="4667" applyNumberFormat="1" applyFont="1" applyBorder="1" applyAlignment="1"/>
    <xf numFmtId="174" fontId="29" fillId="0" borderId="37" xfId="4665" applyNumberFormat="1" applyFont="1" applyBorder="1" applyAlignment="1"/>
    <xf numFmtId="172" fontId="177" fillId="0" borderId="0" xfId="0" applyFont="1" applyAlignment="1">
      <alignment horizontal="center" wrapText="1"/>
    </xf>
    <xf numFmtId="172" fontId="177" fillId="0" borderId="38" xfId="0" applyFont="1" applyBorder="1" applyAlignment="1">
      <alignment horizontal="center" wrapText="1"/>
    </xf>
    <xf numFmtId="172" fontId="177" fillId="0" borderId="53" xfId="0" applyFont="1" applyBorder="1" applyAlignment="1">
      <alignment horizontal="center" wrapText="1"/>
    </xf>
    <xf numFmtId="305" fontId="164" fillId="0" borderId="0" xfId="4665" applyNumberFormat="1" applyFont="1" applyFill="1" applyAlignment="1" applyProtection="1">
      <protection locked="0"/>
    </xf>
    <xf numFmtId="164" fontId="29" fillId="0" borderId="0" xfId="4597" applyNumberFormat="1" applyFont="1" applyAlignment="1">
      <alignment horizontal="left"/>
    </xf>
    <xf numFmtId="0" fontId="29" fillId="0" borderId="4" xfId="0" applyNumberFormat="1" applyFont="1" applyBorder="1"/>
    <xf numFmtId="9" fontId="29" fillId="0" borderId="0" xfId="4475" applyFont="1" applyFill="1"/>
    <xf numFmtId="0" fontId="121" fillId="0" borderId="0" xfId="0" applyNumberFormat="1" applyFont="1"/>
    <xf numFmtId="172" fontId="121" fillId="0" borderId="1" xfId="0" applyFont="1" applyBorder="1" applyAlignment="1">
      <alignment horizontal="center"/>
    </xf>
    <xf numFmtId="172" fontId="121" fillId="0" borderId="0" xfId="0" applyFont="1" applyAlignment="1">
      <alignment horizontal="left"/>
    </xf>
    <xf numFmtId="44" fontId="29" fillId="0" borderId="3" xfId="4" applyNumberFormat="1" applyFont="1" applyBorder="1" applyAlignment="1">
      <alignment horizontal="center"/>
    </xf>
    <xf numFmtId="43" fontId="29" fillId="0" borderId="0" xfId="4665" applyFont="1" applyFill="1"/>
    <xf numFmtId="43" fontId="29" fillId="0" borderId="0" xfId="4665" applyFont="1" applyFill="1" applyAlignment="1">
      <alignment horizontal="right"/>
    </xf>
    <xf numFmtId="10" fontId="29" fillId="0" borderId="4" xfId="4665" applyNumberFormat="1" applyFont="1" applyFill="1" applyBorder="1" applyAlignment="1">
      <alignment horizontal="center"/>
    </xf>
    <xf numFmtId="10" fontId="29" fillId="0" borderId="0" xfId="4665" applyNumberFormat="1" applyFont="1" applyFill="1" applyBorder="1" applyAlignment="1">
      <alignment horizontal="center"/>
    </xf>
    <xf numFmtId="174" fontId="177" fillId="0" borderId="37" xfId="190" applyNumberFormat="1" applyFont="1" applyFill="1" applyBorder="1" applyAlignment="1"/>
    <xf numFmtId="174" fontId="177" fillId="0" borderId="0" xfId="190" applyNumberFormat="1" applyFont="1" applyFill="1" applyBorder="1" applyAlignment="1"/>
    <xf numFmtId="44" fontId="177" fillId="0" borderId="37" xfId="1" applyFont="1" applyFill="1" applyBorder="1" applyAlignment="1">
      <alignment horizontal="right"/>
    </xf>
    <xf numFmtId="174" fontId="177" fillId="0" borderId="38" xfId="190" applyNumberFormat="1" applyFont="1" applyFill="1" applyBorder="1" applyAlignment="1"/>
    <xf numFmtId="305" fontId="176" fillId="0" borderId="0" xfId="4665" applyNumberFormat="1" applyFont="1" applyFill="1" applyBorder="1" applyAlignment="1">
      <alignment horizontal="center" vertical="center" wrapText="1"/>
    </xf>
    <xf numFmtId="174" fontId="176" fillId="0" borderId="0" xfId="4665" applyNumberFormat="1" applyFont="1" applyFill="1" applyBorder="1" applyAlignment="1">
      <alignment horizontal="center" vertical="center" wrapText="1"/>
    </xf>
    <xf numFmtId="41" fontId="29" fillId="3" borderId="0" xfId="4598" applyNumberFormat="1" applyFont="1" applyFill="1"/>
    <xf numFmtId="174" fontId="29" fillId="0" borderId="3" xfId="190" applyNumberFormat="1" applyFont="1" applyFill="1" applyBorder="1" applyAlignment="1">
      <alignment horizontal="center"/>
    </xf>
    <xf numFmtId="174" fontId="29" fillId="3" borderId="0" xfId="4665" applyNumberFormat="1" applyFont="1" applyFill="1" applyAlignment="1"/>
    <xf numFmtId="3" fontId="164" fillId="3" borderId="0" xfId="0" applyNumberFormat="1" applyFont="1" applyFill="1" applyProtection="1">
      <protection locked="0"/>
    </xf>
    <xf numFmtId="311" fontId="29" fillId="0" borderId="0" xfId="4667" applyNumberFormat="1" applyFont="1" applyFill="1" applyAlignment="1">
      <alignment horizontal="center" vertical="center"/>
    </xf>
    <xf numFmtId="311" fontId="29" fillId="0" borderId="0" xfId="4667" applyNumberFormat="1" applyFont="1" applyFill="1" applyBorder="1" applyAlignment="1">
      <alignment horizontal="center"/>
    </xf>
    <xf numFmtId="311" fontId="29" fillId="0" borderId="37" xfId="4667" applyNumberFormat="1" applyFont="1" applyFill="1" applyBorder="1" applyAlignment="1">
      <alignment horizontal="center"/>
    </xf>
    <xf numFmtId="311" fontId="29" fillId="0" borderId="38" xfId="4667" applyNumberFormat="1" applyFont="1" applyFill="1" applyBorder="1" applyAlignment="1">
      <alignment horizontal="center"/>
    </xf>
    <xf numFmtId="0" fontId="29" fillId="0" borderId="0" xfId="4667" applyNumberFormat="1" applyFont="1" applyFill="1" applyBorder="1" applyAlignment="1">
      <alignment horizontal="center"/>
    </xf>
    <xf numFmtId="0" fontId="29" fillId="0" borderId="38" xfId="4667" applyNumberFormat="1" applyFont="1" applyFill="1" applyBorder="1" applyAlignment="1">
      <alignment horizontal="center"/>
    </xf>
    <xf numFmtId="0" fontId="29" fillId="0" borderId="0" xfId="4667" applyNumberFormat="1" applyFont="1" applyFill="1" applyAlignment="1"/>
    <xf numFmtId="0" fontId="176" fillId="3" borderId="0" xfId="4680" applyFont="1" applyFill="1" applyAlignment="1">
      <alignment horizontal="center"/>
    </xf>
    <xf numFmtId="174" fontId="176" fillId="3" borderId="0" xfId="4684" applyNumberFormat="1" applyFont="1" applyFill="1" applyAlignment="1">
      <alignment horizontal="right" vertical="center" wrapText="1"/>
    </xf>
    <xf numFmtId="173" fontId="164" fillId="3" borderId="0" xfId="1" applyNumberFormat="1" applyFont="1" applyFill="1"/>
    <xf numFmtId="192" fontId="184" fillId="3" borderId="0" xfId="0" applyNumberFormat="1" applyFont="1" applyFill="1" applyAlignment="1">
      <alignment horizontal="center"/>
    </xf>
    <xf numFmtId="0" fontId="29" fillId="0" borderId="4" xfId="4671" applyFont="1" applyBorder="1" applyAlignment="1">
      <alignment horizontal="left"/>
    </xf>
    <xf numFmtId="164" fontId="194" fillId="0" borderId="0" xfId="4597" applyNumberFormat="1" applyFont="1" applyAlignment="1">
      <alignment horizontal="left"/>
    </xf>
    <xf numFmtId="43" fontId="164" fillId="2" borderId="0" xfId="4665" applyFont="1" applyFill="1" applyAlignment="1" applyProtection="1">
      <protection locked="0"/>
    </xf>
    <xf numFmtId="43" fontId="29" fillId="2" borderId="0" xfId="4665" applyFont="1" applyFill="1"/>
    <xf numFmtId="0" fontId="164" fillId="0" borderId="0" xfId="4" applyFont="1"/>
    <xf numFmtId="172" fontId="8" fillId="0" borderId="0" xfId="0" applyFont="1" applyAlignment="1">
      <alignment vertical="top" wrapText="1"/>
    </xf>
    <xf numFmtId="172" fontId="8" fillId="0" borderId="0" xfId="0" applyFont="1" applyAlignment="1">
      <alignment horizontal="left" vertical="top" wrapText="1"/>
    </xf>
    <xf numFmtId="172" fontId="172" fillId="0" borderId="0" xfId="0" applyFont="1" applyAlignment="1">
      <alignment horizontal="center"/>
    </xf>
    <xf numFmtId="172" fontId="29" fillId="0" borderId="0" xfId="0" applyFont="1" applyAlignment="1">
      <alignment horizontal="left" vertical="top" wrapText="1"/>
    </xf>
    <xf numFmtId="172" fontId="29" fillId="0" borderId="0" xfId="0" applyFont="1" applyAlignment="1">
      <alignment horizontal="left" wrapText="1"/>
    </xf>
    <xf numFmtId="0" fontId="29" fillId="0" borderId="0" xfId="0" applyNumberFormat="1" applyFont="1" applyAlignment="1" applyProtection="1">
      <alignment horizontal="right"/>
      <protection locked="0"/>
    </xf>
    <xf numFmtId="0" fontId="121" fillId="0" borderId="0" xfId="0" applyNumberFormat="1" applyFont="1" applyAlignment="1" applyProtection="1">
      <alignment horizontal="right"/>
      <protection locked="0"/>
    </xf>
    <xf numFmtId="0" fontId="29" fillId="0" borderId="0" xfId="0" applyNumberFormat="1" applyFont="1" applyAlignment="1" applyProtection="1">
      <alignment vertical="top" wrapText="1"/>
      <protection locked="0"/>
    </xf>
    <xf numFmtId="0" fontId="29" fillId="0" borderId="0" xfId="4597" applyNumberFormat="1" applyFont="1" applyAlignment="1" applyProtection="1">
      <alignment horizontal="left" vertical="top" wrapText="1"/>
      <protection locked="0"/>
    </xf>
    <xf numFmtId="0" fontId="29" fillId="0" borderId="0" xfId="0" applyNumberFormat="1" applyFont="1" applyAlignment="1" applyProtection="1">
      <alignment horizontal="left" vertical="top" wrapText="1"/>
      <protection locked="0"/>
    </xf>
    <xf numFmtId="0" fontId="29" fillId="0" borderId="0" xfId="4664" applyNumberFormat="1" applyFont="1" applyAlignment="1">
      <alignment horizontal="left" vertical="top" wrapText="1"/>
    </xf>
    <xf numFmtId="172" fontId="29" fillId="0" borderId="0" xfId="0" applyFont="1" applyAlignment="1">
      <alignment horizontal="left"/>
    </xf>
    <xf numFmtId="0" fontId="29" fillId="0" borderId="0" xfId="0" applyNumberFormat="1" applyFont="1" applyAlignment="1" applyProtection="1">
      <alignment horizontal="right"/>
    </xf>
    <xf numFmtId="0" fontId="29" fillId="0" borderId="0" xfId="0" applyNumberFormat="1" applyFont="1" applyProtection="1">
      <protection locked="0"/>
    </xf>
    <xf numFmtId="3" fontId="29" fillId="0" borderId="0" xfId="0" applyNumberFormat="1" applyFont="1" applyAlignment="1" applyProtection="1">
      <alignment horizontal="right"/>
      <protection locked="0"/>
    </xf>
    <xf numFmtId="0" fontId="29" fillId="0" borderId="1" xfId="0" applyNumberFormat="1" applyFont="1" applyBorder="1" applyAlignment="1" applyProtection="1">
      <alignment horizontal="center"/>
      <protection locked="0"/>
    </xf>
    <xf numFmtId="172" fontId="165" fillId="0" borderId="0" xfId="4597" applyFont="1" applyAlignment="1">
      <alignment horizontal="left" vertical="top" wrapText="1"/>
    </xf>
    <xf numFmtId="0" fontId="29" fillId="0" borderId="0" xfId="0" applyNumberFormat="1" applyFont="1" applyAlignment="1">
      <alignment horizontal="left" vertical="top" wrapText="1"/>
    </xf>
    <xf numFmtId="172" fontId="165" fillId="0" borderId="0" xfId="0" applyFont="1" applyAlignment="1">
      <alignment horizontal="left" vertical="top" wrapText="1"/>
    </xf>
    <xf numFmtId="0" fontId="29" fillId="0" borderId="0" xfId="4595" applyFont="1" applyAlignment="1">
      <alignment vertical="top" wrapText="1"/>
    </xf>
    <xf numFmtId="0" fontId="29" fillId="0" borderId="0" xfId="4597" quotePrefix="1" applyNumberFormat="1" applyFont="1" applyAlignment="1">
      <alignment horizontal="left" vertical="top" wrapText="1"/>
    </xf>
    <xf numFmtId="0" fontId="29" fillId="0" borderId="0" xfId="0" applyNumberFormat="1" applyFont="1" applyAlignment="1" applyProtection="1">
      <alignment horizontal="left" vertical="center" wrapText="1"/>
      <protection locked="0"/>
    </xf>
    <xf numFmtId="0" fontId="29" fillId="0" borderId="0" xfId="2138" applyFont="1" applyFill="1" applyAlignment="1">
      <alignment horizontal="left" vertical="top" wrapText="1"/>
    </xf>
    <xf numFmtId="0" fontId="121" fillId="0" borderId="0" xfId="4155" applyNumberFormat="1" applyFont="1" applyAlignment="1" applyProtection="1">
      <alignment horizontal="center"/>
      <protection locked="0"/>
    </xf>
    <xf numFmtId="172" fontId="121" fillId="0" borderId="0" xfId="0" applyFont="1" applyAlignment="1">
      <alignment horizontal="center"/>
    </xf>
    <xf numFmtId="0" fontId="130" fillId="0" borderId="4" xfId="4473" applyFont="1" applyBorder="1" applyAlignment="1">
      <alignment horizontal="center"/>
    </xf>
    <xf numFmtId="172" fontId="121" fillId="0" borderId="3" xfId="0" applyFont="1" applyBorder="1" applyAlignment="1">
      <alignment horizontal="center"/>
    </xf>
    <xf numFmtId="0" fontId="29" fillId="0" borderId="0" xfId="4" applyFont="1" applyAlignment="1">
      <alignment vertical="top" wrapText="1"/>
    </xf>
    <xf numFmtId="0" fontId="121" fillId="0" borderId="0" xfId="4" applyFont="1" applyAlignment="1">
      <alignment horizontal="center"/>
    </xf>
    <xf numFmtId="49" fontId="121" fillId="0" borderId="0" xfId="4" applyNumberFormat="1" applyFont="1" applyAlignment="1">
      <alignment horizontal="center"/>
    </xf>
    <xf numFmtId="172" fontId="29" fillId="0" borderId="0" xfId="0" applyFont="1" applyAlignment="1">
      <alignment horizontal="left" vertical="center"/>
    </xf>
    <xf numFmtId="172" fontId="29" fillId="0" borderId="0" xfId="0" applyFont="1" applyAlignment="1">
      <alignment horizontal="left" vertical="top"/>
    </xf>
    <xf numFmtId="0" fontId="29" fillId="0" borderId="0" xfId="4228" applyFont="1" applyAlignment="1">
      <alignment horizontal="left" vertical="top" wrapText="1"/>
    </xf>
    <xf numFmtId="0" fontId="121" fillId="0" borderId="48" xfId="4598" applyFont="1" applyBorder="1" applyAlignment="1">
      <alignment horizontal="center"/>
    </xf>
    <xf numFmtId="0" fontId="121" fillId="0" borderId="15" xfId="4598" applyFont="1" applyBorder="1" applyAlignment="1">
      <alignment horizontal="center"/>
    </xf>
    <xf numFmtId="0" fontId="121" fillId="0" borderId="49" xfId="4598" applyFont="1" applyBorder="1" applyAlignment="1">
      <alignment horizontal="center"/>
    </xf>
    <xf numFmtId="172" fontId="121" fillId="0" borderId="48" xfId="0" applyFont="1" applyBorder="1" applyAlignment="1">
      <alignment horizontal="center"/>
    </xf>
    <xf numFmtId="172" fontId="121" fillId="0" borderId="15" xfId="0" applyFont="1" applyBorder="1" applyAlignment="1">
      <alignment horizontal="center"/>
    </xf>
    <xf numFmtId="172" fontId="121" fillId="0" borderId="49" xfId="0" applyFont="1" applyBorder="1" applyAlignment="1">
      <alignment horizontal="center"/>
    </xf>
    <xf numFmtId="0" fontId="163" fillId="0" borderId="0" xfId="4228" applyFont="1" applyAlignment="1">
      <alignment horizontal="left" vertical="top" wrapText="1"/>
    </xf>
    <xf numFmtId="0" fontId="29" fillId="0" borderId="0" xfId="4" applyFont="1" applyAlignment="1">
      <alignment horizontal="left" vertical="top" wrapText="1"/>
    </xf>
    <xf numFmtId="172" fontId="177" fillId="0" borderId="0" xfId="0" applyFont="1" applyAlignment="1">
      <alignment horizontal="left"/>
    </xf>
    <xf numFmtId="172" fontId="178" fillId="0" borderId="3" xfId="0" applyFont="1" applyBorder="1" applyAlignment="1">
      <alignment horizontal="center"/>
    </xf>
    <xf numFmtId="0" fontId="121" fillId="0" borderId="0" xfId="4598" applyFont="1" applyAlignment="1">
      <alignment horizontal="center"/>
    </xf>
    <xf numFmtId="49" fontId="121" fillId="0" borderId="0" xfId="4597" applyNumberFormat="1" applyFont="1" applyAlignment="1">
      <alignment horizontal="center"/>
    </xf>
    <xf numFmtId="0" fontId="29" fillId="0" borderId="0" xfId="4476" applyFont="1" applyAlignment="1">
      <alignment horizontal="left" vertical="top" wrapText="1"/>
    </xf>
    <xf numFmtId="0" fontId="29" fillId="0" borderId="0" xfId="4476" applyFont="1" applyAlignment="1">
      <alignment horizontal="left" vertical="top"/>
    </xf>
    <xf numFmtId="0" fontId="29" fillId="0" borderId="0" xfId="0" applyNumberFormat="1" applyFont="1" applyAlignment="1" applyProtection="1">
      <alignment horizontal="center"/>
      <protection locked="0"/>
    </xf>
    <xf numFmtId="0" fontId="165" fillId="0" borderId="0" xfId="0" applyNumberFormat="1" applyFont="1" applyAlignment="1">
      <alignment horizontal="left" vertical="top" wrapText="1"/>
    </xf>
    <xf numFmtId="0" fontId="165" fillId="0" borderId="0" xfId="0" applyNumberFormat="1" applyFont="1" applyAlignment="1">
      <alignment horizontal="left"/>
    </xf>
    <xf numFmtId="172" fontId="29" fillId="0" borderId="0" xfId="0" applyFont="1" applyAlignment="1" applyProtection="1">
      <alignment horizontal="left"/>
      <protection locked="0"/>
    </xf>
    <xf numFmtId="172" fontId="121" fillId="0" borderId="0" xfId="4667" applyNumberFormat="1" applyFont="1" applyAlignment="1">
      <alignment horizontal="center"/>
    </xf>
    <xf numFmtId="172" fontId="121" fillId="0" borderId="0" xfId="4667" applyNumberFormat="1" applyFont="1" applyBorder="1" applyAlignment="1">
      <alignment horizontal="center"/>
    </xf>
    <xf numFmtId="172" fontId="121" fillId="0" borderId="3" xfId="4667" applyNumberFormat="1" applyFont="1" applyBorder="1" applyAlignment="1">
      <alignment horizontal="center"/>
    </xf>
    <xf numFmtId="172" fontId="121" fillId="0" borderId="52" xfId="4667" applyNumberFormat="1" applyFont="1" applyFill="1" applyBorder="1" applyAlignment="1">
      <alignment horizontal="center"/>
    </xf>
    <xf numFmtId="172" fontId="121" fillId="0" borderId="3" xfId="4667" applyNumberFormat="1" applyFont="1" applyFill="1" applyBorder="1" applyAlignment="1">
      <alignment horizontal="center"/>
    </xf>
    <xf numFmtId="172" fontId="121" fillId="0" borderId="53" xfId="4667" applyNumberFormat="1" applyFont="1" applyFill="1" applyBorder="1" applyAlignment="1">
      <alignment horizontal="center"/>
    </xf>
    <xf numFmtId="172" fontId="189" fillId="0" borderId="0" xfId="4667" applyNumberFormat="1" applyFont="1" applyAlignment="1">
      <alignment horizontal="center"/>
    </xf>
    <xf numFmtId="172" fontId="29" fillId="0" borderId="0" xfId="4667" applyNumberFormat="1" applyFont="1" applyBorder="1" applyAlignment="1">
      <alignment horizontal="center"/>
    </xf>
    <xf numFmtId="172" fontId="29" fillId="0" borderId="0" xfId="4667" applyNumberFormat="1" applyFont="1" applyFill="1" applyBorder="1" applyAlignment="1">
      <alignment horizontal="center"/>
    </xf>
    <xf numFmtId="172" fontId="29" fillId="0" borderId="38" xfId="4667" applyNumberFormat="1" applyFont="1" applyFill="1" applyBorder="1" applyAlignment="1">
      <alignment horizontal="center"/>
    </xf>
    <xf numFmtId="0" fontId="29" fillId="0" borderId="51" xfId="4352" quotePrefix="1" applyNumberFormat="1" applyFont="1" applyBorder="1" applyAlignment="1">
      <alignment horizontal="center"/>
    </xf>
    <xf numFmtId="0" fontId="29" fillId="0" borderId="4" xfId="4352" quotePrefix="1" applyNumberFormat="1" applyFont="1" applyBorder="1" applyAlignment="1">
      <alignment horizontal="center"/>
    </xf>
    <xf numFmtId="0" fontId="29" fillId="0" borderId="47" xfId="4352" quotePrefix="1" applyNumberFormat="1" applyFont="1" applyBorder="1" applyAlignment="1">
      <alignment horizontal="center"/>
    </xf>
    <xf numFmtId="172" fontId="29" fillId="0" borderId="0" xfId="4667" quotePrefix="1" applyNumberFormat="1" applyFont="1" applyFill="1" applyAlignment="1">
      <alignment horizontal="left" vertical="top" wrapText="1"/>
    </xf>
    <xf numFmtId="172" fontId="121" fillId="0" borderId="0" xfId="4667" applyNumberFormat="1" applyFont="1" applyFill="1" applyAlignment="1">
      <alignment horizontal="center"/>
    </xf>
    <xf numFmtId="172" fontId="121" fillId="0" borderId="0" xfId="4667" applyNumberFormat="1" applyFont="1" applyFill="1" applyAlignment="1">
      <alignment horizontal="left" vertical="top" wrapText="1"/>
    </xf>
    <xf numFmtId="172" fontId="29" fillId="0" borderId="0" xfId="4667" applyNumberFormat="1" applyFont="1" applyFill="1" applyAlignment="1">
      <alignment horizontal="left" vertical="top" wrapText="1"/>
    </xf>
    <xf numFmtId="172" fontId="121" fillId="0" borderId="0" xfId="4667" applyNumberFormat="1" applyFont="1" applyFill="1" applyAlignment="1">
      <alignment wrapText="1"/>
    </xf>
    <xf numFmtId="172" fontId="29" fillId="0" borderId="0" xfId="4667" applyNumberFormat="1" applyFont="1" applyFill="1" applyAlignment="1">
      <alignment wrapText="1"/>
    </xf>
    <xf numFmtId="172" fontId="178" fillId="0" borderId="0" xfId="0" applyFont="1" applyAlignment="1">
      <alignment horizontal="center"/>
    </xf>
    <xf numFmtId="0" fontId="192" fillId="0" borderId="0" xfId="4690" applyFont="1" applyAlignment="1">
      <alignment horizontal="center"/>
    </xf>
    <xf numFmtId="0" fontId="192" fillId="0" borderId="48" xfId="4690" applyFont="1" applyBorder="1" applyAlignment="1">
      <alignment horizontal="center" vertical="center"/>
    </xf>
    <xf numFmtId="0" fontId="192" fillId="0" borderId="15" xfId="4690" applyFont="1" applyBorder="1" applyAlignment="1">
      <alignment horizontal="center" vertical="center"/>
    </xf>
    <xf numFmtId="0" fontId="192" fillId="0" borderId="49" xfId="4690" applyFont="1" applyBorder="1" applyAlignment="1">
      <alignment horizontal="center" vertical="center"/>
    </xf>
    <xf numFmtId="49" fontId="192" fillId="0" borderId="0" xfId="4690" applyNumberFormat="1" applyFont="1" applyAlignment="1">
      <alignment horizontal="center"/>
    </xf>
    <xf numFmtId="0" fontId="192" fillId="0" borderId="51" xfId="4690" applyFont="1" applyBorder="1" applyAlignment="1">
      <alignment horizontal="center" vertical="center"/>
    </xf>
    <xf numFmtId="0" fontId="192" fillId="0" borderId="4" xfId="4690" applyFont="1" applyBorder="1" applyAlignment="1">
      <alignment horizontal="center" vertical="center"/>
    </xf>
    <xf numFmtId="0" fontId="192" fillId="0" borderId="47" xfId="4690" applyFont="1" applyBorder="1" applyAlignment="1">
      <alignment horizontal="center" vertical="center"/>
    </xf>
    <xf numFmtId="0" fontId="164" fillId="3" borderId="0" xfId="4671" applyFont="1" applyFill="1" applyAlignment="1">
      <alignment horizontal="left"/>
    </xf>
    <xf numFmtId="0" fontId="164" fillId="3" borderId="0" xfId="4671" applyFont="1" applyFill="1" applyAlignment="1">
      <alignment horizontal="center"/>
    </xf>
    <xf numFmtId="0" fontId="29" fillId="0" borderId="0" xfId="4671" applyFont="1" applyAlignment="1">
      <alignment horizontal="left"/>
    </xf>
  </cellXfs>
  <cellStyles count="4695">
    <cellStyle name=" 1" xfId="4276" xr:uid="{00000000-0005-0000-0000-000000000000}"/>
    <cellStyle name="%" xfId="5" xr:uid="{00000000-0005-0000-0000-000001000000}"/>
    <cellStyle name="_033103 13 week CF1" xfId="6" xr:uid="{00000000-0005-0000-0000-000002000000}"/>
    <cellStyle name="_181000-189000" xfId="7" xr:uid="{00000000-0005-0000-0000-000003000000}"/>
    <cellStyle name="_2002  What- No Cap X Morgan" xfId="8" xr:uid="{00000000-0005-0000-0000-000004000000}"/>
    <cellStyle name="_Baseline Rollforward Support 050817" xfId="9" xr:uid="{00000000-0005-0000-0000-000005000000}"/>
    <cellStyle name="_Book200 Acq Adj by Plant Acct (w Alloc %)" xfId="4277" xr:uid="{00000000-0005-0000-0000-000006000000}"/>
    <cellStyle name="_EGTG_2003_YTD_Cash_Flow" xfId="10" xr:uid="{00000000-0005-0000-0000-000007000000}"/>
    <cellStyle name="_Everest_Board_Book_2003_FINAL" xfId="11" xr:uid="{00000000-0005-0000-0000-000008000000}"/>
    <cellStyle name="_Oct03_Everest_Board_Financial_Operating_Report" xfId="12" xr:uid="{00000000-0005-0000-0000-000009000000}"/>
    <cellStyle name="_SpreadSM" xfId="13" xr:uid="{00000000-0005-0000-0000-00000A000000}"/>
    <cellStyle name="_Vacation Hours 7-14-08 (2)" xfId="14" xr:uid="{00000000-0005-0000-0000-00000B000000}"/>
    <cellStyle name="_x0010_“+ˆÉ•?pý¤" xfId="4278" xr:uid="{00000000-0005-0000-0000-00000C000000}"/>
    <cellStyle name="_x0010_“+ˆÉ•?pý¤ 2" xfId="4279" xr:uid="{00000000-0005-0000-0000-00000D000000}"/>
    <cellStyle name="¢ Currency [1]" xfId="4478" xr:uid="{00000000-0005-0000-0000-00000E000000}"/>
    <cellStyle name="¢ Currency [2]" xfId="4479" xr:uid="{00000000-0005-0000-0000-00000F000000}"/>
    <cellStyle name="¢ Currency [3]" xfId="4480" xr:uid="{00000000-0005-0000-0000-000010000000}"/>
    <cellStyle name="£ Currency [0]" xfId="4481" xr:uid="{00000000-0005-0000-0000-000011000000}"/>
    <cellStyle name="£ Currency [1]" xfId="4482" xr:uid="{00000000-0005-0000-0000-000012000000}"/>
    <cellStyle name="£ Currency [2]" xfId="4483" xr:uid="{00000000-0005-0000-0000-000013000000}"/>
    <cellStyle name="=C:\WINNT35\SYSTEM32\COMMAND.COM" xfId="15" xr:uid="{00000000-0005-0000-0000-000014000000}"/>
    <cellStyle name="=C:\WINNT40\SYSTEM32\COMMAND.COM" xfId="191" xr:uid="{00000000-0005-0000-0000-000015000000}"/>
    <cellStyle name="=C:\WINNT40\SYSTEM32\COMMAND.COM 2" xfId="192" xr:uid="{00000000-0005-0000-0000-000016000000}"/>
    <cellStyle name="=C:\WINNT40\SYSTEM32\COMMAND.COM 2 2" xfId="193" xr:uid="{00000000-0005-0000-0000-000017000000}"/>
    <cellStyle name="=C:\WINNT40\SYSTEM32\COMMAND.COM 3" xfId="194" xr:uid="{00000000-0005-0000-0000-000018000000}"/>
    <cellStyle name="=C:\WINNT40\SYSTEM32\COMMAND.COM 3 2" xfId="195" xr:uid="{00000000-0005-0000-0000-000019000000}"/>
    <cellStyle name="=C:\WINNT40\SYSTEM32\COMMAND.COM 4" xfId="196" xr:uid="{00000000-0005-0000-0000-00001A000000}"/>
    <cellStyle name="=C:\WINNT40\SYSTEM32\COMMAND.COM 4 2" xfId="197" xr:uid="{00000000-0005-0000-0000-00001B000000}"/>
    <cellStyle name="=C:\WINNT40\SYSTEM32\COMMAND.COM 5" xfId="198" xr:uid="{00000000-0005-0000-0000-00001C000000}"/>
    <cellStyle name="=C:\WINNT40\SYSTEM32\COMMAND.COM 5 2" xfId="199" xr:uid="{00000000-0005-0000-0000-00001D000000}"/>
    <cellStyle name="=C:\WINNT40\SYSTEM32\COMMAND.COM 6" xfId="200" xr:uid="{00000000-0005-0000-0000-00001E000000}"/>
    <cellStyle name="=C:\WINNT40\SYSTEM32\COMMAND.COM 6 2" xfId="201" xr:uid="{00000000-0005-0000-0000-00001F000000}"/>
    <cellStyle name="=C:\WINNT40\SYSTEM32\COMMAND.COM 7" xfId="202" xr:uid="{00000000-0005-0000-0000-000020000000}"/>
    <cellStyle name="=C:\WINNT40\SYSTEM32\COMMAND.COM 7 2" xfId="203" xr:uid="{00000000-0005-0000-0000-000021000000}"/>
    <cellStyle name="=C:\WINNT40\SYSTEM32\COMMAND.COM 8" xfId="204" xr:uid="{00000000-0005-0000-0000-000022000000}"/>
    <cellStyle name="20% - Accent1 10" xfId="205" xr:uid="{00000000-0005-0000-0000-000023000000}"/>
    <cellStyle name="20% - Accent1 11" xfId="206" xr:uid="{00000000-0005-0000-0000-000024000000}"/>
    <cellStyle name="20% - Accent1 12" xfId="207" xr:uid="{00000000-0005-0000-0000-000025000000}"/>
    <cellStyle name="20% - Accent1 13" xfId="208" xr:uid="{00000000-0005-0000-0000-000026000000}"/>
    <cellStyle name="20% - Accent1 14" xfId="209" xr:uid="{00000000-0005-0000-0000-000027000000}"/>
    <cellStyle name="20% - Accent1 15" xfId="210" xr:uid="{00000000-0005-0000-0000-000028000000}"/>
    <cellStyle name="20% - Accent1 16" xfId="211" xr:uid="{00000000-0005-0000-0000-000029000000}"/>
    <cellStyle name="20% - Accent1 17" xfId="212" xr:uid="{00000000-0005-0000-0000-00002A000000}"/>
    <cellStyle name="20% - Accent1 18" xfId="213" xr:uid="{00000000-0005-0000-0000-00002B000000}"/>
    <cellStyle name="20% - Accent1 19" xfId="214" xr:uid="{00000000-0005-0000-0000-00002C000000}"/>
    <cellStyle name="20% - Accent1 19 2" xfId="215" xr:uid="{00000000-0005-0000-0000-00002D000000}"/>
    <cellStyle name="20% - Accent1 19 2 2" xfId="216" xr:uid="{00000000-0005-0000-0000-00002E000000}"/>
    <cellStyle name="20% - Accent1 19 3" xfId="217" xr:uid="{00000000-0005-0000-0000-00002F000000}"/>
    <cellStyle name="20% - Accent1 2" xfId="16" xr:uid="{00000000-0005-0000-0000-000030000000}"/>
    <cellStyle name="20% - Accent1 2 10" xfId="218" xr:uid="{00000000-0005-0000-0000-000031000000}"/>
    <cellStyle name="20% - Accent1 2 2" xfId="219" xr:uid="{00000000-0005-0000-0000-000032000000}"/>
    <cellStyle name="20% - Accent1 2 2 2" xfId="220" xr:uid="{00000000-0005-0000-0000-000033000000}"/>
    <cellStyle name="20% - Accent1 2 2 2 2" xfId="221" xr:uid="{00000000-0005-0000-0000-000034000000}"/>
    <cellStyle name="20% - Accent1 2 2 3" xfId="222" xr:uid="{00000000-0005-0000-0000-000035000000}"/>
    <cellStyle name="20% - Accent1 2 3" xfId="223" xr:uid="{00000000-0005-0000-0000-000036000000}"/>
    <cellStyle name="20% - Accent1 2 3 2" xfId="224" xr:uid="{00000000-0005-0000-0000-000037000000}"/>
    <cellStyle name="20% - Accent1 2 3 2 2" xfId="225" xr:uid="{00000000-0005-0000-0000-000038000000}"/>
    <cellStyle name="20% - Accent1 2 3 3" xfId="226" xr:uid="{00000000-0005-0000-0000-000039000000}"/>
    <cellStyle name="20% - Accent1 2 4" xfId="227" xr:uid="{00000000-0005-0000-0000-00003A000000}"/>
    <cellStyle name="20% - Accent1 2 4 2" xfId="228" xr:uid="{00000000-0005-0000-0000-00003B000000}"/>
    <cellStyle name="20% - Accent1 2 4 2 2" xfId="229" xr:uid="{00000000-0005-0000-0000-00003C000000}"/>
    <cellStyle name="20% - Accent1 2 4 3" xfId="230" xr:uid="{00000000-0005-0000-0000-00003D000000}"/>
    <cellStyle name="20% - Accent1 2 5" xfId="231" xr:uid="{00000000-0005-0000-0000-00003E000000}"/>
    <cellStyle name="20% - Accent1 2 5 2" xfId="232" xr:uid="{00000000-0005-0000-0000-00003F000000}"/>
    <cellStyle name="20% - Accent1 2 5 2 2" xfId="233" xr:uid="{00000000-0005-0000-0000-000040000000}"/>
    <cellStyle name="20% - Accent1 2 5 3" xfId="234" xr:uid="{00000000-0005-0000-0000-000041000000}"/>
    <cellStyle name="20% - Accent1 2 6" xfId="235" xr:uid="{00000000-0005-0000-0000-000042000000}"/>
    <cellStyle name="20% - Accent1 2 6 2" xfId="236" xr:uid="{00000000-0005-0000-0000-000043000000}"/>
    <cellStyle name="20% - Accent1 2 6 2 2" xfId="237" xr:uid="{00000000-0005-0000-0000-000044000000}"/>
    <cellStyle name="20% - Accent1 2 6 3" xfId="238" xr:uid="{00000000-0005-0000-0000-000045000000}"/>
    <cellStyle name="20% - Accent1 2 7" xfId="239" xr:uid="{00000000-0005-0000-0000-000046000000}"/>
    <cellStyle name="20% - Accent1 2 7 2" xfId="240" xr:uid="{00000000-0005-0000-0000-000047000000}"/>
    <cellStyle name="20% - Accent1 2 7 2 2" xfId="241" xr:uid="{00000000-0005-0000-0000-000048000000}"/>
    <cellStyle name="20% - Accent1 2 7 3" xfId="242" xr:uid="{00000000-0005-0000-0000-000049000000}"/>
    <cellStyle name="20% - Accent1 2 8" xfId="243" xr:uid="{00000000-0005-0000-0000-00004A000000}"/>
    <cellStyle name="20% - Accent1 2 8 2" xfId="244" xr:uid="{00000000-0005-0000-0000-00004B000000}"/>
    <cellStyle name="20% - Accent1 2 8 2 2" xfId="245" xr:uid="{00000000-0005-0000-0000-00004C000000}"/>
    <cellStyle name="20% - Accent1 2 8 3" xfId="246" xr:uid="{00000000-0005-0000-0000-00004D000000}"/>
    <cellStyle name="20% - Accent1 2 9" xfId="247" xr:uid="{00000000-0005-0000-0000-00004E000000}"/>
    <cellStyle name="20% - Accent1 2 9 2" xfId="248" xr:uid="{00000000-0005-0000-0000-00004F000000}"/>
    <cellStyle name="20% - Accent1 3" xfId="249" xr:uid="{00000000-0005-0000-0000-000050000000}"/>
    <cellStyle name="20% - Accent1 4" xfId="250" xr:uid="{00000000-0005-0000-0000-000051000000}"/>
    <cellStyle name="20% - Accent1 5" xfId="251" xr:uid="{00000000-0005-0000-0000-000052000000}"/>
    <cellStyle name="20% - Accent1 6" xfId="252" xr:uid="{00000000-0005-0000-0000-000053000000}"/>
    <cellStyle name="20% - Accent1 7" xfId="253" xr:uid="{00000000-0005-0000-0000-000054000000}"/>
    <cellStyle name="20% - Accent1 8" xfId="254" xr:uid="{00000000-0005-0000-0000-000055000000}"/>
    <cellStyle name="20% - Accent1 9" xfId="255" xr:uid="{00000000-0005-0000-0000-000056000000}"/>
    <cellStyle name="20% - Accent2 10" xfId="256" xr:uid="{00000000-0005-0000-0000-000057000000}"/>
    <cellStyle name="20% - Accent2 11" xfId="257" xr:uid="{00000000-0005-0000-0000-000058000000}"/>
    <cellStyle name="20% - Accent2 12" xfId="258" xr:uid="{00000000-0005-0000-0000-000059000000}"/>
    <cellStyle name="20% - Accent2 13" xfId="259" xr:uid="{00000000-0005-0000-0000-00005A000000}"/>
    <cellStyle name="20% - Accent2 14" xfId="260" xr:uid="{00000000-0005-0000-0000-00005B000000}"/>
    <cellStyle name="20% - Accent2 15" xfId="261" xr:uid="{00000000-0005-0000-0000-00005C000000}"/>
    <cellStyle name="20% - Accent2 16" xfId="262" xr:uid="{00000000-0005-0000-0000-00005D000000}"/>
    <cellStyle name="20% - Accent2 17" xfId="263" xr:uid="{00000000-0005-0000-0000-00005E000000}"/>
    <cellStyle name="20% - Accent2 18" xfId="264" xr:uid="{00000000-0005-0000-0000-00005F000000}"/>
    <cellStyle name="20% - Accent2 19" xfId="265" xr:uid="{00000000-0005-0000-0000-000060000000}"/>
    <cellStyle name="20% - Accent2 19 2" xfId="266" xr:uid="{00000000-0005-0000-0000-000061000000}"/>
    <cellStyle name="20% - Accent2 19 2 2" xfId="267" xr:uid="{00000000-0005-0000-0000-000062000000}"/>
    <cellStyle name="20% - Accent2 19 3" xfId="268" xr:uid="{00000000-0005-0000-0000-000063000000}"/>
    <cellStyle name="20% - Accent2 2" xfId="17" xr:uid="{00000000-0005-0000-0000-000064000000}"/>
    <cellStyle name="20% - Accent2 2 10" xfId="269" xr:uid="{00000000-0005-0000-0000-000065000000}"/>
    <cellStyle name="20% - Accent2 2 2" xfId="270" xr:uid="{00000000-0005-0000-0000-000066000000}"/>
    <cellStyle name="20% - Accent2 2 2 2" xfId="271" xr:uid="{00000000-0005-0000-0000-000067000000}"/>
    <cellStyle name="20% - Accent2 2 2 2 2" xfId="272" xr:uid="{00000000-0005-0000-0000-000068000000}"/>
    <cellStyle name="20% - Accent2 2 2 3" xfId="273" xr:uid="{00000000-0005-0000-0000-000069000000}"/>
    <cellStyle name="20% - Accent2 2 3" xfId="274" xr:uid="{00000000-0005-0000-0000-00006A000000}"/>
    <cellStyle name="20% - Accent2 2 3 2" xfId="275" xr:uid="{00000000-0005-0000-0000-00006B000000}"/>
    <cellStyle name="20% - Accent2 2 3 2 2" xfId="276" xr:uid="{00000000-0005-0000-0000-00006C000000}"/>
    <cellStyle name="20% - Accent2 2 3 3" xfId="277" xr:uid="{00000000-0005-0000-0000-00006D000000}"/>
    <cellStyle name="20% - Accent2 2 4" xfId="278" xr:uid="{00000000-0005-0000-0000-00006E000000}"/>
    <cellStyle name="20% - Accent2 2 4 2" xfId="279" xr:uid="{00000000-0005-0000-0000-00006F000000}"/>
    <cellStyle name="20% - Accent2 2 4 2 2" xfId="280" xr:uid="{00000000-0005-0000-0000-000070000000}"/>
    <cellStyle name="20% - Accent2 2 4 3" xfId="281" xr:uid="{00000000-0005-0000-0000-000071000000}"/>
    <cellStyle name="20% - Accent2 2 5" xfId="282" xr:uid="{00000000-0005-0000-0000-000072000000}"/>
    <cellStyle name="20% - Accent2 2 5 2" xfId="283" xr:uid="{00000000-0005-0000-0000-000073000000}"/>
    <cellStyle name="20% - Accent2 2 5 2 2" xfId="284" xr:uid="{00000000-0005-0000-0000-000074000000}"/>
    <cellStyle name="20% - Accent2 2 5 3" xfId="285" xr:uid="{00000000-0005-0000-0000-000075000000}"/>
    <cellStyle name="20% - Accent2 2 6" xfId="286" xr:uid="{00000000-0005-0000-0000-000076000000}"/>
    <cellStyle name="20% - Accent2 2 6 2" xfId="287" xr:uid="{00000000-0005-0000-0000-000077000000}"/>
    <cellStyle name="20% - Accent2 2 6 2 2" xfId="288" xr:uid="{00000000-0005-0000-0000-000078000000}"/>
    <cellStyle name="20% - Accent2 2 6 3" xfId="289" xr:uid="{00000000-0005-0000-0000-000079000000}"/>
    <cellStyle name="20% - Accent2 2 7" xfId="290" xr:uid="{00000000-0005-0000-0000-00007A000000}"/>
    <cellStyle name="20% - Accent2 2 7 2" xfId="291" xr:uid="{00000000-0005-0000-0000-00007B000000}"/>
    <cellStyle name="20% - Accent2 2 7 2 2" xfId="292" xr:uid="{00000000-0005-0000-0000-00007C000000}"/>
    <cellStyle name="20% - Accent2 2 7 3" xfId="293" xr:uid="{00000000-0005-0000-0000-00007D000000}"/>
    <cellStyle name="20% - Accent2 2 8" xfId="294" xr:uid="{00000000-0005-0000-0000-00007E000000}"/>
    <cellStyle name="20% - Accent2 2 8 2" xfId="295" xr:uid="{00000000-0005-0000-0000-00007F000000}"/>
    <cellStyle name="20% - Accent2 2 8 2 2" xfId="296" xr:uid="{00000000-0005-0000-0000-000080000000}"/>
    <cellStyle name="20% - Accent2 2 8 3" xfId="297" xr:uid="{00000000-0005-0000-0000-000081000000}"/>
    <cellStyle name="20% - Accent2 2 9" xfId="298" xr:uid="{00000000-0005-0000-0000-000082000000}"/>
    <cellStyle name="20% - Accent2 2 9 2" xfId="299" xr:uid="{00000000-0005-0000-0000-000083000000}"/>
    <cellStyle name="20% - Accent2 3" xfId="300" xr:uid="{00000000-0005-0000-0000-000084000000}"/>
    <cellStyle name="20% - Accent2 4" xfId="301" xr:uid="{00000000-0005-0000-0000-000085000000}"/>
    <cellStyle name="20% - Accent2 5" xfId="302" xr:uid="{00000000-0005-0000-0000-000086000000}"/>
    <cellStyle name="20% - Accent2 6" xfId="303" xr:uid="{00000000-0005-0000-0000-000087000000}"/>
    <cellStyle name="20% - Accent2 7" xfId="304" xr:uid="{00000000-0005-0000-0000-000088000000}"/>
    <cellStyle name="20% - Accent2 8" xfId="305" xr:uid="{00000000-0005-0000-0000-000089000000}"/>
    <cellStyle name="20% - Accent2 9" xfId="306" xr:uid="{00000000-0005-0000-0000-00008A000000}"/>
    <cellStyle name="20% - Accent3 10" xfId="307" xr:uid="{00000000-0005-0000-0000-00008B000000}"/>
    <cellStyle name="20% - Accent3 11" xfId="308" xr:uid="{00000000-0005-0000-0000-00008C000000}"/>
    <cellStyle name="20% - Accent3 12" xfId="309" xr:uid="{00000000-0005-0000-0000-00008D000000}"/>
    <cellStyle name="20% - Accent3 13" xfId="310" xr:uid="{00000000-0005-0000-0000-00008E000000}"/>
    <cellStyle name="20% - Accent3 14" xfId="311" xr:uid="{00000000-0005-0000-0000-00008F000000}"/>
    <cellStyle name="20% - Accent3 15" xfId="312" xr:uid="{00000000-0005-0000-0000-000090000000}"/>
    <cellStyle name="20% - Accent3 16" xfId="313" xr:uid="{00000000-0005-0000-0000-000091000000}"/>
    <cellStyle name="20% - Accent3 17" xfId="314" xr:uid="{00000000-0005-0000-0000-000092000000}"/>
    <cellStyle name="20% - Accent3 18" xfId="315" xr:uid="{00000000-0005-0000-0000-000093000000}"/>
    <cellStyle name="20% - Accent3 2" xfId="18" xr:uid="{00000000-0005-0000-0000-000094000000}"/>
    <cellStyle name="20% - Accent3 2 2" xfId="316" xr:uid="{00000000-0005-0000-0000-000095000000}"/>
    <cellStyle name="20% - Accent3 2 2 2" xfId="317" xr:uid="{00000000-0005-0000-0000-000096000000}"/>
    <cellStyle name="20% - Accent3 2 2 2 2" xfId="318" xr:uid="{00000000-0005-0000-0000-000097000000}"/>
    <cellStyle name="20% - Accent3 2 2 3" xfId="319" xr:uid="{00000000-0005-0000-0000-000098000000}"/>
    <cellStyle name="20% - Accent3 2 3" xfId="320" xr:uid="{00000000-0005-0000-0000-000099000000}"/>
    <cellStyle name="20% - Accent3 2 3 2" xfId="321" xr:uid="{00000000-0005-0000-0000-00009A000000}"/>
    <cellStyle name="20% - Accent3 2 3 2 2" xfId="322" xr:uid="{00000000-0005-0000-0000-00009B000000}"/>
    <cellStyle name="20% - Accent3 2 3 3" xfId="323" xr:uid="{00000000-0005-0000-0000-00009C000000}"/>
    <cellStyle name="20% - Accent3 2 4" xfId="324" xr:uid="{00000000-0005-0000-0000-00009D000000}"/>
    <cellStyle name="20% - Accent3 2 4 2" xfId="325" xr:uid="{00000000-0005-0000-0000-00009E000000}"/>
    <cellStyle name="20% - Accent3 2 4 2 2" xfId="326" xr:uid="{00000000-0005-0000-0000-00009F000000}"/>
    <cellStyle name="20% - Accent3 2 4 3" xfId="327" xr:uid="{00000000-0005-0000-0000-0000A0000000}"/>
    <cellStyle name="20% - Accent3 2 5" xfId="328" xr:uid="{00000000-0005-0000-0000-0000A1000000}"/>
    <cellStyle name="20% - Accent3 2 5 2" xfId="329" xr:uid="{00000000-0005-0000-0000-0000A2000000}"/>
    <cellStyle name="20% - Accent3 2 5 2 2" xfId="330" xr:uid="{00000000-0005-0000-0000-0000A3000000}"/>
    <cellStyle name="20% - Accent3 2 5 3" xfId="331" xr:uid="{00000000-0005-0000-0000-0000A4000000}"/>
    <cellStyle name="20% - Accent3 2 6" xfId="332" xr:uid="{00000000-0005-0000-0000-0000A5000000}"/>
    <cellStyle name="20% - Accent3 2 6 2" xfId="333" xr:uid="{00000000-0005-0000-0000-0000A6000000}"/>
    <cellStyle name="20% - Accent3 2 6 2 2" xfId="334" xr:uid="{00000000-0005-0000-0000-0000A7000000}"/>
    <cellStyle name="20% - Accent3 2 6 3" xfId="335" xr:uid="{00000000-0005-0000-0000-0000A8000000}"/>
    <cellStyle name="20% - Accent3 2 7" xfId="336" xr:uid="{00000000-0005-0000-0000-0000A9000000}"/>
    <cellStyle name="20% - Accent3 2 7 2" xfId="337" xr:uid="{00000000-0005-0000-0000-0000AA000000}"/>
    <cellStyle name="20% - Accent3 2 7 2 2" xfId="338" xr:uid="{00000000-0005-0000-0000-0000AB000000}"/>
    <cellStyle name="20% - Accent3 2 7 3" xfId="339" xr:uid="{00000000-0005-0000-0000-0000AC000000}"/>
    <cellStyle name="20% - Accent3 2 8" xfId="340" xr:uid="{00000000-0005-0000-0000-0000AD000000}"/>
    <cellStyle name="20% - Accent3 2 8 2" xfId="341" xr:uid="{00000000-0005-0000-0000-0000AE000000}"/>
    <cellStyle name="20% - Accent3 2 9" xfId="342" xr:uid="{00000000-0005-0000-0000-0000AF000000}"/>
    <cellStyle name="20% - Accent3 3" xfId="343" xr:uid="{00000000-0005-0000-0000-0000B0000000}"/>
    <cellStyle name="20% - Accent3 4" xfId="344" xr:uid="{00000000-0005-0000-0000-0000B1000000}"/>
    <cellStyle name="20% - Accent3 5" xfId="345" xr:uid="{00000000-0005-0000-0000-0000B2000000}"/>
    <cellStyle name="20% - Accent3 6" xfId="346" xr:uid="{00000000-0005-0000-0000-0000B3000000}"/>
    <cellStyle name="20% - Accent3 7" xfId="347" xr:uid="{00000000-0005-0000-0000-0000B4000000}"/>
    <cellStyle name="20% - Accent3 8" xfId="348" xr:uid="{00000000-0005-0000-0000-0000B5000000}"/>
    <cellStyle name="20% - Accent3 9" xfId="349" xr:uid="{00000000-0005-0000-0000-0000B6000000}"/>
    <cellStyle name="20% - Accent4 10" xfId="350" xr:uid="{00000000-0005-0000-0000-0000B7000000}"/>
    <cellStyle name="20% - Accent4 11" xfId="351" xr:uid="{00000000-0005-0000-0000-0000B8000000}"/>
    <cellStyle name="20% - Accent4 12" xfId="352" xr:uid="{00000000-0005-0000-0000-0000B9000000}"/>
    <cellStyle name="20% - Accent4 13" xfId="353" xr:uid="{00000000-0005-0000-0000-0000BA000000}"/>
    <cellStyle name="20% - Accent4 14" xfId="354" xr:uid="{00000000-0005-0000-0000-0000BB000000}"/>
    <cellStyle name="20% - Accent4 15" xfId="355" xr:uid="{00000000-0005-0000-0000-0000BC000000}"/>
    <cellStyle name="20% - Accent4 16" xfId="356" xr:uid="{00000000-0005-0000-0000-0000BD000000}"/>
    <cellStyle name="20% - Accent4 17" xfId="357" xr:uid="{00000000-0005-0000-0000-0000BE000000}"/>
    <cellStyle name="20% - Accent4 18" xfId="358" xr:uid="{00000000-0005-0000-0000-0000BF000000}"/>
    <cellStyle name="20% - Accent4 2" xfId="19" xr:uid="{00000000-0005-0000-0000-0000C0000000}"/>
    <cellStyle name="20% - Accent4 2 2" xfId="359" xr:uid="{00000000-0005-0000-0000-0000C1000000}"/>
    <cellStyle name="20% - Accent4 2 2 2" xfId="360" xr:uid="{00000000-0005-0000-0000-0000C2000000}"/>
    <cellStyle name="20% - Accent4 2 2 2 2" xfId="361" xr:uid="{00000000-0005-0000-0000-0000C3000000}"/>
    <cellStyle name="20% - Accent4 2 2 3" xfId="362" xr:uid="{00000000-0005-0000-0000-0000C4000000}"/>
    <cellStyle name="20% - Accent4 2 3" xfId="363" xr:uid="{00000000-0005-0000-0000-0000C5000000}"/>
    <cellStyle name="20% - Accent4 2 3 2" xfId="364" xr:uid="{00000000-0005-0000-0000-0000C6000000}"/>
    <cellStyle name="20% - Accent4 2 3 2 2" xfId="365" xr:uid="{00000000-0005-0000-0000-0000C7000000}"/>
    <cellStyle name="20% - Accent4 2 3 3" xfId="366" xr:uid="{00000000-0005-0000-0000-0000C8000000}"/>
    <cellStyle name="20% - Accent4 2 4" xfId="367" xr:uid="{00000000-0005-0000-0000-0000C9000000}"/>
    <cellStyle name="20% - Accent4 2 4 2" xfId="368" xr:uid="{00000000-0005-0000-0000-0000CA000000}"/>
    <cellStyle name="20% - Accent4 2 4 2 2" xfId="369" xr:uid="{00000000-0005-0000-0000-0000CB000000}"/>
    <cellStyle name="20% - Accent4 2 4 3" xfId="370" xr:uid="{00000000-0005-0000-0000-0000CC000000}"/>
    <cellStyle name="20% - Accent4 2 5" xfId="371" xr:uid="{00000000-0005-0000-0000-0000CD000000}"/>
    <cellStyle name="20% - Accent4 2 5 2" xfId="372" xr:uid="{00000000-0005-0000-0000-0000CE000000}"/>
    <cellStyle name="20% - Accent4 2 5 2 2" xfId="373" xr:uid="{00000000-0005-0000-0000-0000CF000000}"/>
    <cellStyle name="20% - Accent4 2 5 3" xfId="374" xr:uid="{00000000-0005-0000-0000-0000D0000000}"/>
    <cellStyle name="20% - Accent4 2 6" xfId="375" xr:uid="{00000000-0005-0000-0000-0000D1000000}"/>
    <cellStyle name="20% - Accent4 2 6 2" xfId="376" xr:uid="{00000000-0005-0000-0000-0000D2000000}"/>
    <cellStyle name="20% - Accent4 2 6 2 2" xfId="377" xr:uid="{00000000-0005-0000-0000-0000D3000000}"/>
    <cellStyle name="20% - Accent4 2 6 3" xfId="378" xr:uid="{00000000-0005-0000-0000-0000D4000000}"/>
    <cellStyle name="20% - Accent4 2 7" xfId="379" xr:uid="{00000000-0005-0000-0000-0000D5000000}"/>
    <cellStyle name="20% - Accent4 2 7 2" xfId="380" xr:uid="{00000000-0005-0000-0000-0000D6000000}"/>
    <cellStyle name="20% - Accent4 2 7 2 2" xfId="381" xr:uid="{00000000-0005-0000-0000-0000D7000000}"/>
    <cellStyle name="20% - Accent4 2 7 3" xfId="382" xr:uid="{00000000-0005-0000-0000-0000D8000000}"/>
    <cellStyle name="20% - Accent4 2 8" xfId="383" xr:uid="{00000000-0005-0000-0000-0000D9000000}"/>
    <cellStyle name="20% - Accent4 2 8 2" xfId="384" xr:uid="{00000000-0005-0000-0000-0000DA000000}"/>
    <cellStyle name="20% - Accent4 2 9" xfId="385" xr:uid="{00000000-0005-0000-0000-0000DB000000}"/>
    <cellStyle name="20% - Accent4 3" xfId="386" xr:uid="{00000000-0005-0000-0000-0000DC000000}"/>
    <cellStyle name="20% - Accent4 4" xfId="387" xr:uid="{00000000-0005-0000-0000-0000DD000000}"/>
    <cellStyle name="20% - Accent4 5" xfId="388" xr:uid="{00000000-0005-0000-0000-0000DE000000}"/>
    <cellStyle name="20% - Accent4 6" xfId="389" xr:uid="{00000000-0005-0000-0000-0000DF000000}"/>
    <cellStyle name="20% - Accent4 7" xfId="390" xr:uid="{00000000-0005-0000-0000-0000E0000000}"/>
    <cellStyle name="20% - Accent4 8" xfId="391" xr:uid="{00000000-0005-0000-0000-0000E1000000}"/>
    <cellStyle name="20% - Accent4 9" xfId="392" xr:uid="{00000000-0005-0000-0000-0000E2000000}"/>
    <cellStyle name="20% - Accent5 10" xfId="393" xr:uid="{00000000-0005-0000-0000-0000E3000000}"/>
    <cellStyle name="20% - Accent5 11" xfId="394" xr:uid="{00000000-0005-0000-0000-0000E4000000}"/>
    <cellStyle name="20% - Accent5 12" xfId="395" xr:uid="{00000000-0005-0000-0000-0000E5000000}"/>
    <cellStyle name="20% - Accent5 13" xfId="396" xr:uid="{00000000-0005-0000-0000-0000E6000000}"/>
    <cellStyle name="20% - Accent5 14" xfId="397" xr:uid="{00000000-0005-0000-0000-0000E7000000}"/>
    <cellStyle name="20% - Accent5 15" xfId="398" xr:uid="{00000000-0005-0000-0000-0000E8000000}"/>
    <cellStyle name="20% - Accent5 16" xfId="399" xr:uid="{00000000-0005-0000-0000-0000E9000000}"/>
    <cellStyle name="20% - Accent5 17" xfId="400" xr:uid="{00000000-0005-0000-0000-0000EA000000}"/>
    <cellStyle name="20% - Accent5 18" xfId="401" xr:uid="{00000000-0005-0000-0000-0000EB000000}"/>
    <cellStyle name="20% - Accent5 2" xfId="20" xr:uid="{00000000-0005-0000-0000-0000EC000000}"/>
    <cellStyle name="20% - Accent5 2 2" xfId="402" xr:uid="{00000000-0005-0000-0000-0000ED000000}"/>
    <cellStyle name="20% - Accent5 2 2 2" xfId="403" xr:uid="{00000000-0005-0000-0000-0000EE000000}"/>
    <cellStyle name="20% - Accent5 2 2 2 2" xfId="404" xr:uid="{00000000-0005-0000-0000-0000EF000000}"/>
    <cellStyle name="20% - Accent5 2 2 3" xfId="405" xr:uid="{00000000-0005-0000-0000-0000F0000000}"/>
    <cellStyle name="20% - Accent5 2 3" xfId="406" xr:uid="{00000000-0005-0000-0000-0000F1000000}"/>
    <cellStyle name="20% - Accent5 2 3 2" xfId="407" xr:uid="{00000000-0005-0000-0000-0000F2000000}"/>
    <cellStyle name="20% - Accent5 2 3 2 2" xfId="408" xr:uid="{00000000-0005-0000-0000-0000F3000000}"/>
    <cellStyle name="20% - Accent5 2 3 3" xfId="409" xr:uid="{00000000-0005-0000-0000-0000F4000000}"/>
    <cellStyle name="20% - Accent5 2 4" xfId="410" xr:uid="{00000000-0005-0000-0000-0000F5000000}"/>
    <cellStyle name="20% - Accent5 2 4 2" xfId="411" xr:uid="{00000000-0005-0000-0000-0000F6000000}"/>
    <cellStyle name="20% - Accent5 2 4 2 2" xfId="412" xr:uid="{00000000-0005-0000-0000-0000F7000000}"/>
    <cellStyle name="20% - Accent5 2 4 3" xfId="413" xr:uid="{00000000-0005-0000-0000-0000F8000000}"/>
    <cellStyle name="20% - Accent5 2 5" xfId="414" xr:uid="{00000000-0005-0000-0000-0000F9000000}"/>
    <cellStyle name="20% - Accent5 2 5 2" xfId="415" xr:uid="{00000000-0005-0000-0000-0000FA000000}"/>
    <cellStyle name="20% - Accent5 2 5 2 2" xfId="416" xr:uid="{00000000-0005-0000-0000-0000FB000000}"/>
    <cellStyle name="20% - Accent5 2 5 3" xfId="417" xr:uid="{00000000-0005-0000-0000-0000FC000000}"/>
    <cellStyle name="20% - Accent5 2 6" xfId="418" xr:uid="{00000000-0005-0000-0000-0000FD000000}"/>
    <cellStyle name="20% - Accent5 2 6 2" xfId="419" xr:uid="{00000000-0005-0000-0000-0000FE000000}"/>
    <cellStyle name="20% - Accent5 2 6 2 2" xfId="420" xr:uid="{00000000-0005-0000-0000-0000FF000000}"/>
    <cellStyle name="20% - Accent5 2 6 3" xfId="421" xr:uid="{00000000-0005-0000-0000-000000010000}"/>
    <cellStyle name="20% - Accent5 2 7" xfId="422" xr:uid="{00000000-0005-0000-0000-000001010000}"/>
    <cellStyle name="20% - Accent5 2 7 2" xfId="423" xr:uid="{00000000-0005-0000-0000-000002010000}"/>
    <cellStyle name="20% - Accent5 2 7 2 2" xfId="424" xr:uid="{00000000-0005-0000-0000-000003010000}"/>
    <cellStyle name="20% - Accent5 2 7 3" xfId="425" xr:uid="{00000000-0005-0000-0000-000004010000}"/>
    <cellStyle name="20% - Accent5 2 8" xfId="426" xr:uid="{00000000-0005-0000-0000-000005010000}"/>
    <cellStyle name="20% - Accent5 2 8 2" xfId="427" xr:uid="{00000000-0005-0000-0000-000006010000}"/>
    <cellStyle name="20% - Accent5 2 9" xfId="428" xr:uid="{00000000-0005-0000-0000-000007010000}"/>
    <cellStyle name="20% - Accent5 3" xfId="429" xr:uid="{00000000-0005-0000-0000-000008010000}"/>
    <cellStyle name="20% - Accent5 4" xfId="430" xr:uid="{00000000-0005-0000-0000-000009010000}"/>
    <cellStyle name="20% - Accent5 5" xfId="431" xr:uid="{00000000-0005-0000-0000-00000A010000}"/>
    <cellStyle name="20% - Accent5 6" xfId="432" xr:uid="{00000000-0005-0000-0000-00000B010000}"/>
    <cellStyle name="20% - Accent5 7" xfId="433" xr:uid="{00000000-0005-0000-0000-00000C010000}"/>
    <cellStyle name="20% - Accent5 8" xfId="434" xr:uid="{00000000-0005-0000-0000-00000D010000}"/>
    <cellStyle name="20% - Accent5 9" xfId="435" xr:uid="{00000000-0005-0000-0000-00000E010000}"/>
    <cellStyle name="20% - Accent6 10" xfId="436" xr:uid="{00000000-0005-0000-0000-00000F010000}"/>
    <cellStyle name="20% - Accent6 11" xfId="437" xr:uid="{00000000-0005-0000-0000-000010010000}"/>
    <cellStyle name="20% - Accent6 12" xfId="438" xr:uid="{00000000-0005-0000-0000-000011010000}"/>
    <cellStyle name="20% - Accent6 13" xfId="439" xr:uid="{00000000-0005-0000-0000-000012010000}"/>
    <cellStyle name="20% - Accent6 14" xfId="440" xr:uid="{00000000-0005-0000-0000-000013010000}"/>
    <cellStyle name="20% - Accent6 15" xfId="441" xr:uid="{00000000-0005-0000-0000-000014010000}"/>
    <cellStyle name="20% - Accent6 16" xfId="442" xr:uid="{00000000-0005-0000-0000-000015010000}"/>
    <cellStyle name="20% - Accent6 17" xfId="443" xr:uid="{00000000-0005-0000-0000-000016010000}"/>
    <cellStyle name="20% - Accent6 18" xfId="444" xr:uid="{00000000-0005-0000-0000-000017010000}"/>
    <cellStyle name="20% - Accent6 2" xfId="21" xr:uid="{00000000-0005-0000-0000-000018010000}"/>
    <cellStyle name="20% - Accent6 2 2" xfId="445" xr:uid="{00000000-0005-0000-0000-000019010000}"/>
    <cellStyle name="20% - Accent6 2 2 2" xfId="446" xr:uid="{00000000-0005-0000-0000-00001A010000}"/>
    <cellStyle name="20% - Accent6 2 2 2 2" xfId="447" xr:uid="{00000000-0005-0000-0000-00001B010000}"/>
    <cellStyle name="20% - Accent6 2 2 3" xfId="448" xr:uid="{00000000-0005-0000-0000-00001C010000}"/>
    <cellStyle name="20% - Accent6 2 3" xfId="449" xr:uid="{00000000-0005-0000-0000-00001D010000}"/>
    <cellStyle name="20% - Accent6 2 3 2" xfId="450" xr:uid="{00000000-0005-0000-0000-00001E010000}"/>
    <cellStyle name="20% - Accent6 2 3 2 2" xfId="451" xr:uid="{00000000-0005-0000-0000-00001F010000}"/>
    <cellStyle name="20% - Accent6 2 3 3" xfId="452" xr:uid="{00000000-0005-0000-0000-000020010000}"/>
    <cellStyle name="20% - Accent6 2 4" xfId="453" xr:uid="{00000000-0005-0000-0000-000021010000}"/>
    <cellStyle name="20% - Accent6 2 4 2" xfId="454" xr:uid="{00000000-0005-0000-0000-000022010000}"/>
    <cellStyle name="20% - Accent6 2 4 2 2" xfId="455" xr:uid="{00000000-0005-0000-0000-000023010000}"/>
    <cellStyle name="20% - Accent6 2 4 3" xfId="456" xr:uid="{00000000-0005-0000-0000-000024010000}"/>
    <cellStyle name="20% - Accent6 2 5" xfId="457" xr:uid="{00000000-0005-0000-0000-000025010000}"/>
    <cellStyle name="20% - Accent6 2 5 2" xfId="458" xr:uid="{00000000-0005-0000-0000-000026010000}"/>
    <cellStyle name="20% - Accent6 2 5 2 2" xfId="459" xr:uid="{00000000-0005-0000-0000-000027010000}"/>
    <cellStyle name="20% - Accent6 2 5 3" xfId="460" xr:uid="{00000000-0005-0000-0000-000028010000}"/>
    <cellStyle name="20% - Accent6 2 6" xfId="461" xr:uid="{00000000-0005-0000-0000-000029010000}"/>
    <cellStyle name="20% - Accent6 2 6 2" xfId="462" xr:uid="{00000000-0005-0000-0000-00002A010000}"/>
    <cellStyle name="20% - Accent6 2 6 2 2" xfId="463" xr:uid="{00000000-0005-0000-0000-00002B010000}"/>
    <cellStyle name="20% - Accent6 2 6 3" xfId="464" xr:uid="{00000000-0005-0000-0000-00002C010000}"/>
    <cellStyle name="20% - Accent6 2 7" xfId="465" xr:uid="{00000000-0005-0000-0000-00002D010000}"/>
    <cellStyle name="20% - Accent6 2 7 2" xfId="466" xr:uid="{00000000-0005-0000-0000-00002E010000}"/>
    <cellStyle name="20% - Accent6 2 7 2 2" xfId="467" xr:uid="{00000000-0005-0000-0000-00002F010000}"/>
    <cellStyle name="20% - Accent6 2 7 3" xfId="468" xr:uid="{00000000-0005-0000-0000-000030010000}"/>
    <cellStyle name="20% - Accent6 2 8" xfId="469" xr:uid="{00000000-0005-0000-0000-000031010000}"/>
    <cellStyle name="20% - Accent6 2 8 2" xfId="470" xr:uid="{00000000-0005-0000-0000-000032010000}"/>
    <cellStyle name="20% - Accent6 2 9" xfId="471" xr:uid="{00000000-0005-0000-0000-000033010000}"/>
    <cellStyle name="20% - Accent6 3" xfId="472" xr:uid="{00000000-0005-0000-0000-000034010000}"/>
    <cellStyle name="20% - Accent6 4" xfId="473" xr:uid="{00000000-0005-0000-0000-000035010000}"/>
    <cellStyle name="20% - Accent6 5" xfId="474" xr:uid="{00000000-0005-0000-0000-000036010000}"/>
    <cellStyle name="20% - Accent6 6" xfId="475" xr:uid="{00000000-0005-0000-0000-000037010000}"/>
    <cellStyle name="20% - Accent6 7" xfId="476" xr:uid="{00000000-0005-0000-0000-000038010000}"/>
    <cellStyle name="20% - Accent6 8" xfId="477" xr:uid="{00000000-0005-0000-0000-000039010000}"/>
    <cellStyle name="20% - Accent6 9" xfId="478" xr:uid="{00000000-0005-0000-0000-00003A010000}"/>
    <cellStyle name="40% - Accent1 10" xfId="479" xr:uid="{00000000-0005-0000-0000-00003B010000}"/>
    <cellStyle name="40% - Accent1 11" xfId="480" xr:uid="{00000000-0005-0000-0000-00003C010000}"/>
    <cellStyle name="40% - Accent1 12" xfId="481" xr:uid="{00000000-0005-0000-0000-00003D010000}"/>
    <cellStyle name="40% - Accent1 13" xfId="482" xr:uid="{00000000-0005-0000-0000-00003E010000}"/>
    <cellStyle name="40% - Accent1 14" xfId="483" xr:uid="{00000000-0005-0000-0000-00003F010000}"/>
    <cellStyle name="40% - Accent1 15" xfId="484" xr:uid="{00000000-0005-0000-0000-000040010000}"/>
    <cellStyle name="40% - Accent1 16" xfId="485" xr:uid="{00000000-0005-0000-0000-000041010000}"/>
    <cellStyle name="40% - Accent1 17" xfId="486" xr:uid="{00000000-0005-0000-0000-000042010000}"/>
    <cellStyle name="40% - Accent1 18" xfId="487" xr:uid="{00000000-0005-0000-0000-000043010000}"/>
    <cellStyle name="40% - Accent1 2" xfId="22" xr:uid="{00000000-0005-0000-0000-000044010000}"/>
    <cellStyle name="40% - Accent1 2 2" xfId="488" xr:uid="{00000000-0005-0000-0000-000045010000}"/>
    <cellStyle name="40% - Accent1 2 2 2" xfId="489" xr:uid="{00000000-0005-0000-0000-000046010000}"/>
    <cellStyle name="40% - Accent1 2 2 2 2" xfId="490" xr:uid="{00000000-0005-0000-0000-000047010000}"/>
    <cellStyle name="40% - Accent1 2 2 3" xfId="491" xr:uid="{00000000-0005-0000-0000-000048010000}"/>
    <cellStyle name="40% - Accent1 2 3" xfId="492" xr:uid="{00000000-0005-0000-0000-000049010000}"/>
    <cellStyle name="40% - Accent1 2 3 2" xfId="493" xr:uid="{00000000-0005-0000-0000-00004A010000}"/>
    <cellStyle name="40% - Accent1 2 3 2 2" xfId="494" xr:uid="{00000000-0005-0000-0000-00004B010000}"/>
    <cellStyle name="40% - Accent1 2 3 3" xfId="495" xr:uid="{00000000-0005-0000-0000-00004C010000}"/>
    <cellStyle name="40% - Accent1 2 4" xfId="496" xr:uid="{00000000-0005-0000-0000-00004D010000}"/>
    <cellStyle name="40% - Accent1 2 4 2" xfId="497" xr:uid="{00000000-0005-0000-0000-00004E010000}"/>
    <cellStyle name="40% - Accent1 2 4 2 2" xfId="498" xr:uid="{00000000-0005-0000-0000-00004F010000}"/>
    <cellStyle name="40% - Accent1 2 4 3" xfId="499" xr:uid="{00000000-0005-0000-0000-000050010000}"/>
    <cellStyle name="40% - Accent1 2 5" xfId="500" xr:uid="{00000000-0005-0000-0000-000051010000}"/>
    <cellStyle name="40% - Accent1 2 5 2" xfId="501" xr:uid="{00000000-0005-0000-0000-000052010000}"/>
    <cellStyle name="40% - Accent1 2 5 2 2" xfId="502" xr:uid="{00000000-0005-0000-0000-000053010000}"/>
    <cellStyle name="40% - Accent1 2 5 3" xfId="503" xr:uid="{00000000-0005-0000-0000-000054010000}"/>
    <cellStyle name="40% - Accent1 2 6" xfId="504" xr:uid="{00000000-0005-0000-0000-000055010000}"/>
    <cellStyle name="40% - Accent1 2 6 2" xfId="505" xr:uid="{00000000-0005-0000-0000-000056010000}"/>
    <cellStyle name="40% - Accent1 2 6 2 2" xfId="506" xr:uid="{00000000-0005-0000-0000-000057010000}"/>
    <cellStyle name="40% - Accent1 2 6 3" xfId="507" xr:uid="{00000000-0005-0000-0000-000058010000}"/>
    <cellStyle name="40% - Accent1 2 7" xfId="508" xr:uid="{00000000-0005-0000-0000-000059010000}"/>
    <cellStyle name="40% - Accent1 2 7 2" xfId="509" xr:uid="{00000000-0005-0000-0000-00005A010000}"/>
    <cellStyle name="40% - Accent1 2 7 2 2" xfId="510" xr:uid="{00000000-0005-0000-0000-00005B010000}"/>
    <cellStyle name="40% - Accent1 2 7 3" xfId="511" xr:uid="{00000000-0005-0000-0000-00005C010000}"/>
    <cellStyle name="40% - Accent1 2 8" xfId="512" xr:uid="{00000000-0005-0000-0000-00005D010000}"/>
    <cellStyle name="40% - Accent1 2 8 2" xfId="513" xr:uid="{00000000-0005-0000-0000-00005E010000}"/>
    <cellStyle name="40% - Accent1 2 9" xfId="514" xr:uid="{00000000-0005-0000-0000-00005F010000}"/>
    <cellStyle name="40% - Accent1 3" xfId="515" xr:uid="{00000000-0005-0000-0000-000060010000}"/>
    <cellStyle name="40% - Accent1 4" xfId="516" xr:uid="{00000000-0005-0000-0000-000061010000}"/>
    <cellStyle name="40% - Accent1 5" xfId="517" xr:uid="{00000000-0005-0000-0000-000062010000}"/>
    <cellStyle name="40% - Accent1 6" xfId="518" xr:uid="{00000000-0005-0000-0000-000063010000}"/>
    <cellStyle name="40% - Accent1 7" xfId="519" xr:uid="{00000000-0005-0000-0000-000064010000}"/>
    <cellStyle name="40% - Accent1 8" xfId="520" xr:uid="{00000000-0005-0000-0000-000065010000}"/>
    <cellStyle name="40% - Accent1 9" xfId="521" xr:uid="{00000000-0005-0000-0000-000066010000}"/>
    <cellStyle name="40% - Accent2 10" xfId="522" xr:uid="{00000000-0005-0000-0000-000067010000}"/>
    <cellStyle name="40% - Accent2 11" xfId="523" xr:uid="{00000000-0005-0000-0000-000068010000}"/>
    <cellStyle name="40% - Accent2 12" xfId="524" xr:uid="{00000000-0005-0000-0000-000069010000}"/>
    <cellStyle name="40% - Accent2 13" xfId="525" xr:uid="{00000000-0005-0000-0000-00006A010000}"/>
    <cellStyle name="40% - Accent2 14" xfId="526" xr:uid="{00000000-0005-0000-0000-00006B010000}"/>
    <cellStyle name="40% - Accent2 15" xfId="527" xr:uid="{00000000-0005-0000-0000-00006C010000}"/>
    <cellStyle name="40% - Accent2 16" xfId="528" xr:uid="{00000000-0005-0000-0000-00006D010000}"/>
    <cellStyle name="40% - Accent2 17" xfId="529" xr:uid="{00000000-0005-0000-0000-00006E010000}"/>
    <cellStyle name="40% - Accent2 18" xfId="530" xr:uid="{00000000-0005-0000-0000-00006F010000}"/>
    <cellStyle name="40% - Accent2 2" xfId="23" xr:uid="{00000000-0005-0000-0000-000070010000}"/>
    <cellStyle name="40% - Accent2 2 2" xfId="531" xr:uid="{00000000-0005-0000-0000-000071010000}"/>
    <cellStyle name="40% - Accent2 2 2 2" xfId="532" xr:uid="{00000000-0005-0000-0000-000072010000}"/>
    <cellStyle name="40% - Accent2 2 2 2 2" xfId="533" xr:uid="{00000000-0005-0000-0000-000073010000}"/>
    <cellStyle name="40% - Accent2 2 2 3" xfId="534" xr:uid="{00000000-0005-0000-0000-000074010000}"/>
    <cellStyle name="40% - Accent2 2 3" xfId="535" xr:uid="{00000000-0005-0000-0000-000075010000}"/>
    <cellStyle name="40% - Accent2 2 3 2" xfId="536" xr:uid="{00000000-0005-0000-0000-000076010000}"/>
    <cellStyle name="40% - Accent2 2 3 2 2" xfId="537" xr:uid="{00000000-0005-0000-0000-000077010000}"/>
    <cellStyle name="40% - Accent2 2 3 3" xfId="538" xr:uid="{00000000-0005-0000-0000-000078010000}"/>
    <cellStyle name="40% - Accent2 2 4" xfId="539" xr:uid="{00000000-0005-0000-0000-000079010000}"/>
    <cellStyle name="40% - Accent2 2 4 2" xfId="540" xr:uid="{00000000-0005-0000-0000-00007A010000}"/>
    <cellStyle name="40% - Accent2 2 4 2 2" xfId="541" xr:uid="{00000000-0005-0000-0000-00007B010000}"/>
    <cellStyle name="40% - Accent2 2 4 3" xfId="542" xr:uid="{00000000-0005-0000-0000-00007C010000}"/>
    <cellStyle name="40% - Accent2 2 5" xfId="543" xr:uid="{00000000-0005-0000-0000-00007D010000}"/>
    <cellStyle name="40% - Accent2 2 5 2" xfId="544" xr:uid="{00000000-0005-0000-0000-00007E010000}"/>
    <cellStyle name="40% - Accent2 2 5 2 2" xfId="545" xr:uid="{00000000-0005-0000-0000-00007F010000}"/>
    <cellStyle name="40% - Accent2 2 5 3" xfId="546" xr:uid="{00000000-0005-0000-0000-000080010000}"/>
    <cellStyle name="40% - Accent2 2 6" xfId="547" xr:uid="{00000000-0005-0000-0000-000081010000}"/>
    <cellStyle name="40% - Accent2 2 6 2" xfId="548" xr:uid="{00000000-0005-0000-0000-000082010000}"/>
    <cellStyle name="40% - Accent2 2 6 2 2" xfId="549" xr:uid="{00000000-0005-0000-0000-000083010000}"/>
    <cellStyle name="40% - Accent2 2 6 3" xfId="550" xr:uid="{00000000-0005-0000-0000-000084010000}"/>
    <cellStyle name="40% - Accent2 2 7" xfId="551" xr:uid="{00000000-0005-0000-0000-000085010000}"/>
    <cellStyle name="40% - Accent2 2 7 2" xfId="552" xr:uid="{00000000-0005-0000-0000-000086010000}"/>
    <cellStyle name="40% - Accent2 2 7 2 2" xfId="553" xr:uid="{00000000-0005-0000-0000-000087010000}"/>
    <cellStyle name="40% - Accent2 2 7 3" xfId="554" xr:uid="{00000000-0005-0000-0000-000088010000}"/>
    <cellStyle name="40% - Accent2 2 8" xfId="555" xr:uid="{00000000-0005-0000-0000-000089010000}"/>
    <cellStyle name="40% - Accent2 2 8 2" xfId="556" xr:uid="{00000000-0005-0000-0000-00008A010000}"/>
    <cellStyle name="40% - Accent2 2 9" xfId="557" xr:uid="{00000000-0005-0000-0000-00008B010000}"/>
    <cellStyle name="40% - Accent2 3" xfId="558" xr:uid="{00000000-0005-0000-0000-00008C010000}"/>
    <cellStyle name="40% - Accent2 4" xfId="559" xr:uid="{00000000-0005-0000-0000-00008D010000}"/>
    <cellStyle name="40% - Accent2 5" xfId="560" xr:uid="{00000000-0005-0000-0000-00008E010000}"/>
    <cellStyle name="40% - Accent2 6" xfId="561" xr:uid="{00000000-0005-0000-0000-00008F010000}"/>
    <cellStyle name="40% - Accent2 7" xfId="562" xr:uid="{00000000-0005-0000-0000-000090010000}"/>
    <cellStyle name="40% - Accent2 8" xfId="563" xr:uid="{00000000-0005-0000-0000-000091010000}"/>
    <cellStyle name="40% - Accent2 9" xfId="564" xr:uid="{00000000-0005-0000-0000-000092010000}"/>
    <cellStyle name="40% - Accent3 10" xfId="565" xr:uid="{00000000-0005-0000-0000-000093010000}"/>
    <cellStyle name="40% - Accent3 11" xfId="566" xr:uid="{00000000-0005-0000-0000-000094010000}"/>
    <cellStyle name="40% - Accent3 12" xfId="567" xr:uid="{00000000-0005-0000-0000-000095010000}"/>
    <cellStyle name="40% - Accent3 13" xfId="568" xr:uid="{00000000-0005-0000-0000-000096010000}"/>
    <cellStyle name="40% - Accent3 14" xfId="569" xr:uid="{00000000-0005-0000-0000-000097010000}"/>
    <cellStyle name="40% - Accent3 15" xfId="570" xr:uid="{00000000-0005-0000-0000-000098010000}"/>
    <cellStyle name="40% - Accent3 16" xfId="571" xr:uid="{00000000-0005-0000-0000-000099010000}"/>
    <cellStyle name="40% - Accent3 17" xfId="572" xr:uid="{00000000-0005-0000-0000-00009A010000}"/>
    <cellStyle name="40% - Accent3 18" xfId="573" xr:uid="{00000000-0005-0000-0000-00009B010000}"/>
    <cellStyle name="40% - Accent3 2" xfId="24" xr:uid="{00000000-0005-0000-0000-00009C010000}"/>
    <cellStyle name="40% - Accent3 2 2" xfId="574" xr:uid="{00000000-0005-0000-0000-00009D010000}"/>
    <cellStyle name="40% - Accent3 2 2 2" xfId="575" xr:uid="{00000000-0005-0000-0000-00009E010000}"/>
    <cellStyle name="40% - Accent3 2 2 2 2" xfId="576" xr:uid="{00000000-0005-0000-0000-00009F010000}"/>
    <cellStyle name="40% - Accent3 2 2 3" xfId="577" xr:uid="{00000000-0005-0000-0000-0000A0010000}"/>
    <cellStyle name="40% - Accent3 2 3" xfId="578" xr:uid="{00000000-0005-0000-0000-0000A1010000}"/>
    <cellStyle name="40% - Accent3 2 3 2" xfId="579" xr:uid="{00000000-0005-0000-0000-0000A2010000}"/>
    <cellStyle name="40% - Accent3 2 3 2 2" xfId="580" xr:uid="{00000000-0005-0000-0000-0000A3010000}"/>
    <cellStyle name="40% - Accent3 2 3 3" xfId="581" xr:uid="{00000000-0005-0000-0000-0000A4010000}"/>
    <cellStyle name="40% - Accent3 2 4" xfId="582" xr:uid="{00000000-0005-0000-0000-0000A5010000}"/>
    <cellStyle name="40% - Accent3 2 4 2" xfId="583" xr:uid="{00000000-0005-0000-0000-0000A6010000}"/>
    <cellStyle name="40% - Accent3 2 4 2 2" xfId="584" xr:uid="{00000000-0005-0000-0000-0000A7010000}"/>
    <cellStyle name="40% - Accent3 2 4 3" xfId="585" xr:uid="{00000000-0005-0000-0000-0000A8010000}"/>
    <cellStyle name="40% - Accent3 2 5" xfId="586" xr:uid="{00000000-0005-0000-0000-0000A9010000}"/>
    <cellStyle name="40% - Accent3 2 5 2" xfId="587" xr:uid="{00000000-0005-0000-0000-0000AA010000}"/>
    <cellStyle name="40% - Accent3 2 5 2 2" xfId="588" xr:uid="{00000000-0005-0000-0000-0000AB010000}"/>
    <cellStyle name="40% - Accent3 2 5 3" xfId="589" xr:uid="{00000000-0005-0000-0000-0000AC010000}"/>
    <cellStyle name="40% - Accent3 2 6" xfId="590" xr:uid="{00000000-0005-0000-0000-0000AD010000}"/>
    <cellStyle name="40% - Accent3 2 6 2" xfId="591" xr:uid="{00000000-0005-0000-0000-0000AE010000}"/>
    <cellStyle name="40% - Accent3 2 6 2 2" xfId="592" xr:uid="{00000000-0005-0000-0000-0000AF010000}"/>
    <cellStyle name="40% - Accent3 2 6 3" xfId="593" xr:uid="{00000000-0005-0000-0000-0000B0010000}"/>
    <cellStyle name="40% - Accent3 2 7" xfId="594" xr:uid="{00000000-0005-0000-0000-0000B1010000}"/>
    <cellStyle name="40% - Accent3 2 7 2" xfId="595" xr:uid="{00000000-0005-0000-0000-0000B2010000}"/>
    <cellStyle name="40% - Accent3 2 7 2 2" xfId="596" xr:uid="{00000000-0005-0000-0000-0000B3010000}"/>
    <cellStyle name="40% - Accent3 2 7 3" xfId="597" xr:uid="{00000000-0005-0000-0000-0000B4010000}"/>
    <cellStyle name="40% - Accent3 2 8" xfId="598" xr:uid="{00000000-0005-0000-0000-0000B5010000}"/>
    <cellStyle name="40% - Accent3 2 8 2" xfId="599" xr:uid="{00000000-0005-0000-0000-0000B6010000}"/>
    <cellStyle name="40% - Accent3 2 9" xfId="600" xr:uid="{00000000-0005-0000-0000-0000B7010000}"/>
    <cellStyle name="40% - Accent3 3" xfId="601" xr:uid="{00000000-0005-0000-0000-0000B8010000}"/>
    <cellStyle name="40% - Accent3 4" xfId="602" xr:uid="{00000000-0005-0000-0000-0000B9010000}"/>
    <cellStyle name="40% - Accent3 5" xfId="603" xr:uid="{00000000-0005-0000-0000-0000BA010000}"/>
    <cellStyle name="40% - Accent3 6" xfId="604" xr:uid="{00000000-0005-0000-0000-0000BB010000}"/>
    <cellStyle name="40% - Accent3 7" xfId="605" xr:uid="{00000000-0005-0000-0000-0000BC010000}"/>
    <cellStyle name="40% - Accent3 8" xfId="606" xr:uid="{00000000-0005-0000-0000-0000BD010000}"/>
    <cellStyle name="40% - Accent3 9" xfId="607" xr:uid="{00000000-0005-0000-0000-0000BE010000}"/>
    <cellStyle name="40% - Accent4 10" xfId="608" xr:uid="{00000000-0005-0000-0000-0000BF010000}"/>
    <cellStyle name="40% - Accent4 11" xfId="609" xr:uid="{00000000-0005-0000-0000-0000C0010000}"/>
    <cellStyle name="40% - Accent4 12" xfId="610" xr:uid="{00000000-0005-0000-0000-0000C1010000}"/>
    <cellStyle name="40% - Accent4 13" xfId="611" xr:uid="{00000000-0005-0000-0000-0000C2010000}"/>
    <cellStyle name="40% - Accent4 14" xfId="612" xr:uid="{00000000-0005-0000-0000-0000C3010000}"/>
    <cellStyle name="40% - Accent4 15" xfId="613" xr:uid="{00000000-0005-0000-0000-0000C4010000}"/>
    <cellStyle name="40% - Accent4 16" xfId="614" xr:uid="{00000000-0005-0000-0000-0000C5010000}"/>
    <cellStyle name="40% - Accent4 17" xfId="615" xr:uid="{00000000-0005-0000-0000-0000C6010000}"/>
    <cellStyle name="40% - Accent4 18" xfId="616" xr:uid="{00000000-0005-0000-0000-0000C7010000}"/>
    <cellStyle name="40% - Accent4 2" xfId="25" xr:uid="{00000000-0005-0000-0000-0000C8010000}"/>
    <cellStyle name="40% - Accent4 2 2" xfId="617" xr:uid="{00000000-0005-0000-0000-0000C9010000}"/>
    <cellStyle name="40% - Accent4 2 2 2" xfId="618" xr:uid="{00000000-0005-0000-0000-0000CA010000}"/>
    <cellStyle name="40% - Accent4 2 2 2 2" xfId="619" xr:uid="{00000000-0005-0000-0000-0000CB010000}"/>
    <cellStyle name="40% - Accent4 2 2 3" xfId="620" xr:uid="{00000000-0005-0000-0000-0000CC010000}"/>
    <cellStyle name="40% - Accent4 2 3" xfId="621" xr:uid="{00000000-0005-0000-0000-0000CD010000}"/>
    <cellStyle name="40% - Accent4 2 3 2" xfId="622" xr:uid="{00000000-0005-0000-0000-0000CE010000}"/>
    <cellStyle name="40% - Accent4 2 3 2 2" xfId="623" xr:uid="{00000000-0005-0000-0000-0000CF010000}"/>
    <cellStyle name="40% - Accent4 2 3 3" xfId="624" xr:uid="{00000000-0005-0000-0000-0000D0010000}"/>
    <cellStyle name="40% - Accent4 2 4" xfId="625" xr:uid="{00000000-0005-0000-0000-0000D1010000}"/>
    <cellStyle name="40% - Accent4 2 4 2" xfId="626" xr:uid="{00000000-0005-0000-0000-0000D2010000}"/>
    <cellStyle name="40% - Accent4 2 4 2 2" xfId="627" xr:uid="{00000000-0005-0000-0000-0000D3010000}"/>
    <cellStyle name="40% - Accent4 2 4 3" xfId="628" xr:uid="{00000000-0005-0000-0000-0000D4010000}"/>
    <cellStyle name="40% - Accent4 2 5" xfId="629" xr:uid="{00000000-0005-0000-0000-0000D5010000}"/>
    <cellStyle name="40% - Accent4 2 5 2" xfId="630" xr:uid="{00000000-0005-0000-0000-0000D6010000}"/>
    <cellStyle name="40% - Accent4 2 5 2 2" xfId="631" xr:uid="{00000000-0005-0000-0000-0000D7010000}"/>
    <cellStyle name="40% - Accent4 2 5 3" xfId="632" xr:uid="{00000000-0005-0000-0000-0000D8010000}"/>
    <cellStyle name="40% - Accent4 2 6" xfId="633" xr:uid="{00000000-0005-0000-0000-0000D9010000}"/>
    <cellStyle name="40% - Accent4 2 6 2" xfId="634" xr:uid="{00000000-0005-0000-0000-0000DA010000}"/>
    <cellStyle name="40% - Accent4 2 6 2 2" xfId="635" xr:uid="{00000000-0005-0000-0000-0000DB010000}"/>
    <cellStyle name="40% - Accent4 2 6 3" xfId="636" xr:uid="{00000000-0005-0000-0000-0000DC010000}"/>
    <cellStyle name="40% - Accent4 2 7" xfId="637" xr:uid="{00000000-0005-0000-0000-0000DD010000}"/>
    <cellStyle name="40% - Accent4 2 7 2" xfId="638" xr:uid="{00000000-0005-0000-0000-0000DE010000}"/>
    <cellStyle name="40% - Accent4 2 7 2 2" xfId="639" xr:uid="{00000000-0005-0000-0000-0000DF010000}"/>
    <cellStyle name="40% - Accent4 2 7 3" xfId="640" xr:uid="{00000000-0005-0000-0000-0000E0010000}"/>
    <cellStyle name="40% - Accent4 2 8" xfId="641" xr:uid="{00000000-0005-0000-0000-0000E1010000}"/>
    <cellStyle name="40% - Accent4 2 8 2" xfId="642" xr:uid="{00000000-0005-0000-0000-0000E2010000}"/>
    <cellStyle name="40% - Accent4 2 9" xfId="643" xr:uid="{00000000-0005-0000-0000-0000E3010000}"/>
    <cellStyle name="40% - Accent4 3" xfId="644" xr:uid="{00000000-0005-0000-0000-0000E4010000}"/>
    <cellStyle name="40% - Accent4 4" xfId="645" xr:uid="{00000000-0005-0000-0000-0000E5010000}"/>
    <cellStyle name="40% - Accent4 5" xfId="646" xr:uid="{00000000-0005-0000-0000-0000E6010000}"/>
    <cellStyle name="40% - Accent4 6" xfId="647" xr:uid="{00000000-0005-0000-0000-0000E7010000}"/>
    <cellStyle name="40% - Accent4 7" xfId="648" xr:uid="{00000000-0005-0000-0000-0000E8010000}"/>
    <cellStyle name="40% - Accent4 8" xfId="649" xr:uid="{00000000-0005-0000-0000-0000E9010000}"/>
    <cellStyle name="40% - Accent4 9" xfId="650" xr:uid="{00000000-0005-0000-0000-0000EA010000}"/>
    <cellStyle name="40% - Accent5 10" xfId="651" xr:uid="{00000000-0005-0000-0000-0000EB010000}"/>
    <cellStyle name="40% - Accent5 11" xfId="652" xr:uid="{00000000-0005-0000-0000-0000EC010000}"/>
    <cellStyle name="40% - Accent5 12" xfId="653" xr:uid="{00000000-0005-0000-0000-0000ED010000}"/>
    <cellStyle name="40% - Accent5 13" xfId="654" xr:uid="{00000000-0005-0000-0000-0000EE010000}"/>
    <cellStyle name="40% - Accent5 14" xfId="655" xr:uid="{00000000-0005-0000-0000-0000EF010000}"/>
    <cellStyle name="40% - Accent5 15" xfId="656" xr:uid="{00000000-0005-0000-0000-0000F0010000}"/>
    <cellStyle name="40% - Accent5 16" xfId="657" xr:uid="{00000000-0005-0000-0000-0000F1010000}"/>
    <cellStyle name="40% - Accent5 17" xfId="658" xr:uid="{00000000-0005-0000-0000-0000F2010000}"/>
    <cellStyle name="40% - Accent5 18" xfId="659" xr:uid="{00000000-0005-0000-0000-0000F3010000}"/>
    <cellStyle name="40% - Accent5 2" xfId="26" xr:uid="{00000000-0005-0000-0000-0000F4010000}"/>
    <cellStyle name="40% - Accent5 2 2" xfId="660" xr:uid="{00000000-0005-0000-0000-0000F5010000}"/>
    <cellStyle name="40% - Accent5 2 2 2" xfId="661" xr:uid="{00000000-0005-0000-0000-0000F6010000}"/>
    <cellStyle name="40% - Accent5 2 2 2 2" xfId="662" xr:uid="{00000000-0005-0000-0000-0000F7010000}"/>
    <cellStyle name="40% - Accent5 2 2 3" xfId="663" xr:uid="{00000000-0005-0000-0000-0000F8010000}"/>
    <cellStyle name="40% - Accent5 2 3" xfId="664" xr:uid="{00000000-0005-0000-0000-0000F9010000}"/>
    <cellStyle name="40% - Accent5 2 3 2" xfId="665" xr:uid="{00000000-0005-0000-0000-0000FA010000}"/>
    <cellStyle name="40% - Accent5 2 3 2 2" xfId="666" xr:uid="{00000000-0005-0000-0000-0000FB010000}"/>
    <cellStyle name="40% - Accent5 2 3 3" xfId="667" xr:uid="{00000000-0005-0000-0000-0000FC010000}"/>
    <cellStyle name="40% - Accent5 2 4" xfId="668" xr:uid="{00000000-0005-0000-0000-0000FD010000}"/>
    <cellStyle name="40% - Accent5 2 4 2" xfId="669" xr:uid="{00000000-0005-0000-0000-0000FE010000}"/>
    <cellStyle name="40% - Accent5 2 4 2 2" xfId="670" xr:uid="{00000000-0005-0000-0000-0000FF010000}"/>
    <cellStyle name="40% - Accent5 2 4 3" xfId="671" xr:uid="{00000000-0005-0000-0000-000000020000}"/>
    <cellStyle name="40% - Accent5 2 5" xfId="672" xr:uid="{00000000-0005-0000-0000-000001020000}"/>
    <cellStyle name="40% - Accent5 2 5 2" xfId="673" xr:uid="{00000000-0005-0000-0000-000002020000}"/>
    <cellStyle name="40% - Accent5 2 5 2 2" xfId="674" xr:uid="{00000000-0005-0000-0000-000003020000}"/>
    <cellStyle name="40% - Accent5 2 5 3" xfId="675" xr:uid="{00000000-0005-0000-0000-000004020000}"/>
    <cellStyle name="40% - Accent5 2 6" xfId="676" xr:uid="{00000000-0005-0000-0000-000005020000}"/>
    <cellStyle name="40% - Accent5 2 6 2" xfId="677" xr:uid="{00000000-0005-0000-0000-000006020000}"/>
    <cellStyle name="40% - Accent5 2 6 2 2" xfId="678" xr:uid="{00000000-0005-0000-0000-000007020000}"/>
    <cellStyle name="40% - Accent5 2 6 3" xfId="679" xr:uid="{00000000-0005-0000-0000-000008020000}"/>
    <cellStyle name="40% - Accent5 2 7" xfId="680" xr:uid="{00000000-0005-0000-0000-000009020000}"/>
    <cellStyle name="40% - Accent5 2 7 2" xfId="681" xr:uid="{00000000-0005-0000-0000-00000A020000}"/>
    <cellStyle name="40% - Accent5 2 7 2 2" xfId="682" xr:uid="{00000000-0005-0000-0000-00000B020000}"/>
    <cellStyle name="40% - Accent5 2 7 3" xfId="683" xr:uid="{00000000-0005-0000-0000-00000C020000}"/>
    <cellStyle name="40% - Accent5 2 8" xfId="684" xr:uid="{00000000-0005-0000-0000-00000D020000}"/>
    <cellStyle name="40% - Accent5 2 8 2" xfId="685" xr:uid="{00000000-0005-0000-0000-00000E020000}"/>
    <cellStyle name="40% - Accent5 2 9" xfId="686" xr:uid="{00000000-0005-0000-0000-00000F020000}"/>
    <cellStyle name="40% - Accent5 3" xfId="687" xr:uid="{00000000-0005-0000-0000-000010020000}"/>
    <cellStyle name="40% - Accent5 4" xfId="688" xr:uid="{00000000-0005-0000-0000-000011020000}"/>
    <cellStyle name="40% - Accent5 5" xfId="689" xr:uid="{00000000-0005-0000-0000-000012020000}"/>
    <cellStyle name="40% - Accent5 6" xfId="690" xr:uid="{00000000-0005-0000-0000-000013020000}"/>
    <cellStyle name="40% - Accent5 7" xfId="691" xr:uid="{00000000-0005-0000-0000-000014020000}"/>
    <cellStyle name="40% - Accent5 8" xfId="692" xr:uid="{00000000-0005-0000-0000-000015020000}"/>
    <cellStyle name="40% - Accent5 9" xfId="693" xr:uid="{00000000-0005-0000-0000-000016020000}"/>
    <cellStyle name="40% - Accent6 10" xfId="694" xr:uid="{00000000-0005-0000-0000-000017020000}"/>
    <cellStyle name="40% - Accent6 11" xfId="695" xr:uid="{00000000-0005-0000-0000-000018020000}"/>
    <cellStyle name="40% - Accent6 12" xfId="696" xr:uid="{00000000-0005-0000-0000-000019020000}"/>
    <cellStyle name="40% - Accent6 13" xfId="697" xr:uid="{00000000-0005-0000-0000-00001A020000}"/>
    <cellStyle name="40% - Accent6 14" xfId="698" xr:uid="{00000000-0005-0000-0000-00001B020000}"/>
    <cellStyle name="40% - Accent6 15" xfId="699" xr:uid="{00000000-0005-0000-0000-00001C020000}"/>
    <cellStyle name="40% - Accent6 16" xfId="700" xr:uid="{00000000-0005-0000-0000-00001D020000}"/>
    <cellStyle name="40% - Accent6 17" xfId="701" xr:uid="{00000000-0005-0000-0000-00001E020000}"/>
    <cellStyle name="40% - Accent6 18" xfId="702" xr:uid="{00000000-0005-0000-0000-00001F020000}"/>
    <cellStyle name="40% - Accent6 2" xfId="27" xr:uid="{00000000-0005-0000-0000-000020020000}"/>
    <cellStyle name="40% - Accent6 2 2" xfId="703" xr:uid="{00000000-0005-0000-0000-000021020000}"/>
    <cellStyle name="40% - Accent6 2 2 2" xfId="704" xr:uid="{00000000-0005-0000-0000-000022020000}"/>
    <cellStyle name="40% - Accent6 2 2 2 2" xfId="705" xr:uid="{00000000-0005-0000-0000-000023020000}"/>
    <cellStyle name="40% - Accent6 2 2 3" xfId="706" xr:uid="{00000000-0005-0000-0000-000024020000}"/>
    <cellStyle name="40% - Accent6 2 3" xfId="707" xr:uid="{00000000-0005-0000-0000-000025020000}"/>
    <cellStyle name="40% - Accent6 2 3 2" xfId="708" xr:uid="{00000000-0005-0000-0000-000026020000}"/>
    <cellStyle name="40% - Accent6 2 3 2 2" xfId="709" xr:uid="{00000000-0005-0000-0000-000027020000}"/>
    <cellStyle name="40% - Accent6 2 3 3" xfId="710" xr:uid="{00000000-0005-0000-0000-000028020000}"/>
    <cellStyle name="40% - Accent6 2 4" xfId="711" xr:uid="{00000000-0005-0000-0000-000029020000}"/>
    <cellStyle name="40% - Accent6 2 4 2" xfId="712" xr:uid="{00000000-0005-0000-0000-00002A020000}"/>
    <cellStyle name="40% - Accent6 2 4 2 2" xfId="713" xr:uid="{00000000-0005-0000-0000-00002B020000}"/>
    <cellStyle name="40% - Accent6 2 4 3" xfId="714" xr:uid="{00000000-0005-0000-0000-00002C020000}"/>
    <cellStyle name="40% - Accent6 2 5" xfId="715" xr:uid="{00000000-0005-0000-0000-00002D020000}"/>
    <cellStyle name="40% - Accent6 2 5 2" xfId="716" xr:uid="{00000000-0005-0000-0000-00002E020000}"/>
    <cellStyle name="40% - Accent6 2 5 2 2" xfId="717" xr:uid="{00000000-0005-0000-0000-00002F020000}"/>
    <cellStyle name="40% - Accent6 2 5 3" xfId="718" xr:uid="{00000000-0005-0000-0000-000030020000}"/>
    <cellStyle name="40% - Accent6 2 6" xfId="719" xr:uid="{00000000-0005-0000-0000-000031020000}"/>
    <cellStyle name="40% - Accent6 2 6 2" xfId="720" xr:uid="{00000000-0005-0000-0000-000032020000}"/>
    <cellStyle name="40% - Accent6 2 6 2 2" xfId="721" xr:uid="{00000000-0005-0000-0000-000033020000}"/>
    <cellStyle name="40% - Accent6 2 6 3" xfId="722" xr:uid="{00000000-0005-0000-0000-000034020000}"/>
    <cellStyle name="40% - Accent6 2 7" xfId="723" xr:uid="{00000000-0005-0000-0000-000035020000}"/>
    <cellStyle name="40% - Accent6 2 7 2" xfId="724" xr:uid="{00000000-0005-0000-0000-000036020000}"/>
    <cellStyle name="40% - Accent6 2 7 2 2" xfId="725" xr:uid="{00000000-0005-0000-0000-000037020000}"/>
    <cellStyle name="40% - Accent6 2 7 3" xfId="726" xr:uid="{00000000-0005-0000-0000-000038020000}"/>
    <cellStyle name="40% - Accent6 2 8" xfId="727" xr:uid="{00000000-0005-0000-0000-000039020000}"/>
    <cellStyle name="40% - Accent6 2 8 2" xfId="728" xr:uid="{00000000-0005-0000-0000-00003A020000}"/>
    <cellStyle name="40% - Accent6 2 9" xfId="729" xr:uid="{00000000-0005-0000-0000-00003B020000}"/>
    <cellStyle name="40% - Accent6 3" xfId="730" xr:uid="{00000000-0005-0000-0000-00003C020000}"/>
    <cellStyle name="40% - Accent6 4" xfId="731" xr:uid="{00000000-0005-0000-0000-00003D020000}"/>
    <cellStyle name="40% - Accent6 5" xfId="732" xr:uid="{00000000-0005-0000-0000-00003E020000}"/>
    <cellStyle name="40% - Accent6 6" xfId="733" xr:uid="{00000000-0005-0000-0000-00003F020000}"/>
    <cellStyle name="40% - Accent6 7" xfId="734" xr:uid="{00000000-0005-0000-0000-000040020000}"/>
    <cellStyle name="40% - Accent6 8" xfId="735" xr:uid="{00000000-0005-0000-0000-000041020000}"/>
    <cellStyle name="40% - Accent6 9" xfId="736" xr:uid="{00000000-0005-0000-0000-000042020000}"/>
    <cellStyle name="60% - Accent1 10" xfId="737" xr:uid="{00000000-0005-0000-0000-000043020000}"/>
    <cellStyle name="60% - Accent1 11" xfId="738" xr:uid="{00000000-0005-0000-0000-000044020000}"/>
    <cellStyle name="60% - Accent1 12" xfId="739" xr:uid="{00000000-0005-0000-0000-000045020000}"/>
    <cellStyle name="60% - Accent1 13" xfId="740" xr:uid="{00000000-0005-0000-0000-000046020000}"/>
    <cellStyle name="60% - Accent1 14" xfId="741" xr:uid="{00000000-0005-0000-0000-000047020000}"/>
    <cellStyle name="60% - Accent1 15" xfId="742" xr:uid="{00000000-0005-0000-0000-000048020000}"/>
    <cellStyle name="60% - Accent1 16" xfId="743" xr:uid="{00000000-0005-0000-0000-000049020000}"/>
    <cellStyle name="60% - Accent1 17" xfId="744" xr:uid="{00000000-0005-0000-0000-00004A020000}"/>
    <cellStyle name="60% - Accent1 18" xfId="745" xr:uid="{00000000-0005-0000-0000-00004B020000}"/>
    <cellStyle name="60% - Accent1 2" xfId="28" xr:uid="{00000000-0005-0000-0000-00004C020000}"/>
    <cellStyle name="60% - Accent1 2 2" xfId="746" xr:uid="{00000000-0005-0000-0000-00004D020000}"/>
    <cellStyle name="60% - Accent1 2 3" xfId="747" xr:uid="{00000000-0005-0000-0000-00004E020000}"/>
    <cellStyle name="60% - Accent1 2 4" xfId="748" xr:uid="{00000000-0005-0000-0000-00004F020000}"/>
    <cellStyle name="60% - Accent1 2 5" xfId="749" xr:uid="{00000000-0005-0000-0000-000050020000}"/>
    <cellStyle name="60% - Accent1 3" xfId="750" xr:uid="{00000000-0005-0000-0000-000051020000}"/>
    <cellStyle name="60% - Accent1 4" xfId="751" xr:uid="{00000000-0005-0000-0000-000052020000}"/>
    <cellStyle name="60% - Accent1 5" xfId="752" xr:uid="{00000000-0005-0000-0000-000053020000}"/>
    <cellStyle name="60% - Accent1 6" xfId="753" xr:uid="{00000000-0005-0000-0000-000054020000}"/>
    <cellStyle name="60% - Accent1 7" xfId="754" xr:uid="{00000000-0005-0000-0000-000055020000}"/>
    <cellStyle name="60% - Accent1 8" xfId="755" xr:uid="{00000000-0005-0000-0000-000056020000}"/>
    <cellStyle name="60% - Accent1 9" xfId="756" xr:uid="{00000000-0005-0000-0000-000057020000}"/>
    <cellStyle name="60% - Accent2 10" xfId="757" xr:uid="{00000000-0005-0000-0000-000058020000}"/>
    <cellStyle name="60% - Accent2 11" xfId="758" xr:uid="{00000000-0005-0000-0000-000059020000}"/>
    <cellStyle name="60% - Accent2 12" xfId="759" xr:uid="{00000000-0005-0000-0000-00005A020000}"/>
    <cellStyle name="60% - Accent2 13" xfId="760" xr:uid="{00000000-0005-0000-0000-00005B020000}"/>
    <cellStyle name="60% - Accent2 14" xfId="761" xr:uid="{00000000-0005-0000-0000-00005C020000}"/>
    <cellStyle name="60% - Accent2 15" xfId="762" xr:uid="{00000000-0005-0000-0000-00005D020000}"/>
    <cellStyle name="60% - Accent2 16" xfId="763" xr:uid="{00000000-0005-0000-0000-00005E020000}"/>
    <cellStyle name="60% - Accent2 17" xfId="764" xr:uid="{00000000-0005-0000-0000-00005F020000}"/>
    <cellStyle name="60% - Accent2 18" xfId="765" xr:uid="{00000000-0005-0000-0000-000060020000}"/>
    <cellStyle name="60% - Accent2 2" xfId="29" xr:uid="{00000000-0005-0000-0000-000061020000}"/>
    <cellStyle name="60% - Accent2 2 2" xfId="766" xr:uid="{00000000-0005-0000-0000-000062020000}"/>
    <cellStyle name="60% - Accent2 2 3" xfId="767" xr:uid="{00000000-0005-0000-0000-000063020000}"/>
    <cellStyle name="60% - Accent2 2 4" xfId="768" xr:uid="{00000000-0005-0000-0000-000064020000}"/>
    <cellStyle name="60% - Accent2 2 5" xfId="769" xr:uid="{00000000-0005-0000-0000-000065020000}"/>
    <cellStyle name="60% - Accent2 3" xfId="770" xr:uid="{00000000-0005-0000-0000-000066020000}"/>
    <cellStyle name="60% - Accent2 4" xfId="771" xr:uid="{00000000-0005-0000-0000-000067020000}"/>
    <cellStyle name="60% - Accent2 5" xfId="772" xr:uid="{00000000-0005-0000-0000-000068020000}"/>
    <cellStyle name="60% - Accent2 6" xfId="773" xr:uid="{00000000-0005-0000-0000-000069020000}"/>
    <cellStyle name="60% - Accent2 7" xfId="774" xr:uid="{00000000-0005-0000-0000-00006A020000}"/>
    <cellStyle name="60% - Accent2 8" xfId="775" xr:uid="{00000000-0005-0000-0000-00006B020000}"/>
    <cellStyle name="60% - Accent2 9" xfId="776" xr:uid="{00000000-0005-0000-0000-00006C020000}"/>
    <cellStyle name="60% - Accent3 10" xfId="777" xr:uid="{00000000-0005-0000-0000-00006D020000}"/>
    <cellStyle name="60% - Accent3 11" xfId="778" xr:uid="{00000000-0005-0000-0000-00006E020000}"/>
    <cellStyle name="60% - Accent3 12" xfId="779" xr:uid="{00000000-0005-0000-0000-00006F020000}"/>
    <cellStyle name="60% - Accent3 13" xfId="780" xr:uid="{00000000-0005-0000-0000-000070020000}"/>
    <cellStyle name="60% - Accent3 14" xfId="781" xr:uid="{00000000-0005-0000-0000-000071020000}"/>
    <cellStyle name="60% - Accent3 15" xfId="782" xr:uid="{00000000-0005-0000-0000-000072020000}"/>
    <cellStyle name="60% - Accent3 16" xfId="783" xr:uid="{00000000-0005-0000-0000-000073020000}"/>
    <cellStyle name="60% - Accent3 17" xfId="784" xr:uid="{00000000-0005-0000-0000-000074020000}"/>
    <cellStyle name="60% - Accent3 18" xfId="785" xr:uid="{00000000-0005-0000-0000-000075020000}"/>
    <cellStyle name="60% - Accent3 2" xfId="30" xr:uid="{00000000-0005-0000-0000-000076020000}"/>
    <cellStyle name="60% - Accent3 2 2" xfId="786" xr:uid="{00000000-0005-0000-0000-000077020000}"/>
    <cellStyle name="60% - Accent3 2 3" xfId="787" xr:uid="{00000000-0005-0000-0000-000078020000}"/>
    <cellStyle name="60% - Accent3 2 4" xfId="788" xr:uid="{00000000-0005-0000-0000-000079020000}"/>
    <cellStyle name="60% - Accent3 2 5" xfId="789" xr:uid="{00000000-0005-0000-0000-00007A020000}"/>
    <cellStyle name="60% - Accent3 3" xfId="790" xr:uid="{00000000-0005-0000-0000-00007B020000}"/>
    <cellStyle name="60% - Accent3 4" xfId="791" xr:uid="{00000000-0005-0000-0000-00007C020000}"/>
    <cellStyle name="60% - Accent3 5" xfId="792" xr:uid="{00000000-0005-0000-0000-00007D020000}"/>
    <cellStyle name="60% - Accent3 6" xfId="793" xr:uid="{00000000-0005-0000-0000-00007E020000}"/>
    <cellStyle name="60% - Accent3 7" xfId="794" xr:uid="{00000000-0005-0000-0000-00007F020000}"/>
    <cellStyle name="60% - Accent3 8" xfId="795" xr:uid="{00000000-0005-0000-0000-000080020000}"/>
    <cellStyle name="60% - Accent3 9" xfId="796" xr:uid="{00000000-0005-0000-0000-000081020000}"/>
    <cellStyle name="60% - Accent4 10" xfId="797" xr:uid="{00000000-0005-0000-0000-000082020000}"/>
    <cellStyle name="60% - Accent4 11" xfId="798" xr:uid="{00000000-0005-0000-0000-000083020000}"/>
    <cellStyle name="60% - Accent4 12" xfId="799" xr:uid="{00000000-0005-0000-0000-000084020000}"/>
    <cellStyle name="60% - Accent4 13" xfId="800" xr:uid="{00000000-0005-0000-0000-000085020000}"/>
    <cellStyle name="60% - Accent4 14" xfId="801" xr:uid="{00000000-0005-0000-0000-000086020000}"/>
    <cellStyle name="60% - Accent4 15" xfId="802" xr:uid="{00000000-0005-0000-0000-000087020000}"/>
    <cellStyle name="60% - Accent4 16" xfId="803" xr:uid="{00000000-0005-0000-0000-000088020000}"/>
    <cellStyle name="60% - Accent4 17" xfId="804" xr:uid="{00000000-0005-0000-0000-000089020000}"/>
    <cellStyle name="60% - Accent4 18" xfId="805" xr:uid="{00000000-0005-0000-0000-00008A020000}"/>
    <cellStyle name="60% - Accent4 2" xfId="31" xr:uid="{00000000-0005-0000-0000-00008B020000}"/>
    <cellStyle name="60% - Accent4 2 2" xfId="806" xr:uid="{00000000-0005-0000-0000-00008C020000}"/>
    <cellStyle name="60% - Accent4 2 3" xfId="807" xr:uid="{00000000-0005-0000-0000-00008D020000}"/>
    <cellStyle name="60% - Accent4 2 4" xfId="808" xr:uid="{00000000-0005-0000-0000-00008E020000}"/>
    <cellStyle name="60% - Accent4 2 5" xfId="809" xr:uid="{00000000-0005-0000-0000-00008F020000}"/>
    <cellStyle name="60% - Accent4 3" xfId="810" xr:uid="{00000000-0005-0000-0000-000090020000}"/>
    <cellStyle name="60% - Accent4 4" xfId="811" xr:uid="{00000000-0005-0000-0000-000091020000}"/>
    <cellStyle name="60% - Accent4 5" xfId="812" xr:uid="{00000000-0005-0000-0000-000092020000}"/>
    <cellStyle name="60% - Accent4 6" xfId="813" xr:uid="{00000000-0005-0000-0000-000093020000}"/>
    <cellStyle name="60% - Accent4 7" xfId="814" xr:uid="{00000000-0005-0000-0000-000094020000}"/>
    <cellStyle name="60% - Accent4 8" xfId="815" xr:uid="{00000000-0005-0000-0000-000095020000}"/>
    <cellStyle name="60% - Accent4 9" xfId="816" xr:uid="{00000000-0005-0000-0000-000096020000}"/>
    <cellStyle name="60% - Accent5 10" xfId="817" xr:uid="{00000000-0005-0000-0000-000097020000}"/>
    <cellStyle name="60% - Accent5 11" xfId="818" xr:uid="{00000000-0005-0000-0000-000098020000}"/>
    <cellStyle name="60% - Accent5 12" xfId="819" xr:uid="{00000000-0005-0000-0000-000099020000}"/>
    <cellStyle name="60% - Accent5 13" xfId="820" xr:uid="{00000000-0005-0000-0000-00009A020000}"/>
    <cellStyle name="60% - Accent5 14" xfId="821" xr:uid="{00000000-0005-0000-0000-00009B020000}"/>
    <cellStyle name="60% - Accent5 15" xfId="822" xr:uid="{00000000-0005-0000-0000-00009C020000}"/>
    <cellStyle name="60% - Accent5 16" xfId="823" xr:uid="{00000000-0005-0000-0000-00009D020000}"/>
    <cellStyle name="60% - Accent5 17" xfId="824" xr:uid="{00000000-0005-0000-0000-00009E020000}"/>
    <cellStyle name="60% - Accent5 18" xfId="825" xr:uid="{00000000-0005-0000-0000-00009F020000}"/>
    <cellStyle name="60% - Accent5 2" xfId="32" xr:uid="{00000000-0005-0000-0000-0000A0020000}"/>
    <cellStyle name="60% - Accent5 2 2" xfId="826" xr:uid="{00000000-0005-0000-0000-0000A1020000}"/>
    <cellStyle name="60% - Accent5 2 3" xfId="827" xr:uid="{00000000-0005-0000-0000-0000A2020000}"/>
    <cellStyle name="60% - Accent5 2 4" xfId="828" xr:uid="{00000000-0005-0000-0000-0000A3020000}"/>
    <cellStyle name="60% - Accent5 2 5" xfId="829" xr:uid="{00000000-0005-0000-0000-0000A4020000}"/>
    <cellStyle name="60% - Accent5 3" xfId="830" xr:uid="{00000000-0005-0000-0000-0000A5020000}"/>
    <cellStyle name="60% - Accent5 4" xfId="831" xr:uid="{00000000-0005-0000-0000-0000A6020000}"/>
    <cellStyle name="60% - Accent5 5" xfId="832" xr:uid="{00000000-0005-0000-0000-0000A7020000}"/>
    <cellStyle name="60% - Accent5 6" xfId="833" xr:uid="{00000000-0005-0000-0000-0000A8020000}"/>
    <cellStyle name="60% - Accent5 7" xfId="834" xr:uid="{00000000-0005-0000-0000-0000A9020000}"/>
    <cellStyle name="60% - Accent5 8" xfId="835" xr:uid="{00000000-0005-0000-0000-0000AA020000}"/>
    <cellStyle name="60% - Accent5 9" xfId="836" xr:uid="{00000000-0005-0000-0000-0000AB020000}"/>
    <cellStyle name="60% - Accent6 10" xfId="837" xr:uid="{00000000-0005-0000-0000-0000AC020000}"/>
    <cellStyle name="60% - Accent6 11" xfId="838" xr:uid="{00000000-0005-0000-0000-0000AD020000}"/>
    <cellStyle name="60% - Accent6 12" xfId="839" xr:uid="{00000000-0005-0000-0000-0000AE020000}"/>
    <cellStyle name="60% - Accent6 13" xfId="840" xr:uid="{00000000-0005-0000-0000-0000AF020000}"/>
    <cellStyle name="60% - Accent6 14" xfId="841" xr:uid="{00000000-0005-0000-0000-0000B0020000}"/>
    <cellStyle name="60% - Accent6 15" xfId="842" xr:uid="{00000000-0005-0000-0000-0000B1020000}"/>
    <cellStyle name="60% - Accent6 16" xfId="843" xr:uid="{00000000-0005-0000-0000-0000B2020000}"/>
    <cellStyle name="60% - Accent6 17" xfId="844" xr:uid="{00000000-0005-0000-0000-0000B3020000}"/>
    <cellStyle name="60% - Accent6 18" xfId="845" xr:uid="{00000000-0005-0000-0000-0000B4020000}"/>
    <cellStyle name="60% - Accent6 2" xfId="33" xr:uid="{00000000-0005-0000-0000-0000B5020000}"/>
    <cellStyle name="60% - Accent6 2 2" xfId="846" xr:uid="{00000000-0005-0000-0000-0000B6020000}"/>
    <cellStyle name="60% - Accent6 2 3" xfId="847" xr:uid="{00000000-0005-0000-0000-0000B7020000}"/>
    <cellStyle name="60% - Accent6 2 4" xfId="848" xr:uid="{00000000-0005-0000-0000-0000B8020000}"/>
    <cellStyle name="60% - Accent6 2 5" xfId="849" xr:uid="{00000000-0005-0000-0000-0000B9020000}"/>
    <cellStyle name="60% - Accent6 3" xfId="850" xr:uid="{00000000-0005-0000-0000-0000BA020000}"/>
    <cellStyle name="60% - Accent6 4" xfId="851" xr:uid="{00000000-0005-0000-0000-0000BB020000}"/>
    <cellStyle name="60% - Accent6 5" xfId="852" xr:uid="{00000000-0005-0000-0000-0000BC020000}"/>
    <cellStyle name="60% - Accent6 6" xfId="853" xr:uid="{00000000-0005-0000-0000-0000BD020000}"/>
    <cellStyle name="60% - Accent6 7" xfId="854" xr:uid="{00000000-0005-0000-0000-0000BE020000}"/>
    <cellStyle name="60% - Accent6 8" xfId="855" xr:uid="{00000000-0005-0000-0000-0000BF020000}"/>
    <cellStyle name="60% - Accent6 9" xfId="856" xr:uid="{00000000-0005-0000-0000-0000C0020000}"/>
    <cellStyle name="Accent1 10" xfId="857" xr:uid="{00000000-0005-0000-0000-0000C1020000}"/>
    <cellStyle name="Accent1 11" xfId="858" xr:uid="{00000000-0005-0000-0000-0000C2020000}"/>
    <cellStyle name="Accent1 12" xfId="859" xr:uid="{00000000-0005-0000-0000-0000C3020000}"/>
    <cellStyle name="Accent1 13" xfId="860" xr:uid="{00000000-0005-0000-0000-0000C4020000}"/>
    <cellStyle name="Accent1 14" xfId="861" xr:uid="{00000000-0005-0000-0000-0000C5020000}"/>
    <cellStyle name="Accent1 15" xfId="862" xr:uid="{00000000-0005-0000-0000-0000C6020000}"/>
    <cellStyle name="Accent1 16" xfId="863" xr:uid="{00000000-0005-0000-0000-0000C7020000}"/>
    <cellStyle name="Accent1 17" xfId="864" xr:uid="{00000000-0005-0000-0000-0000C8020000}"/>
    <cellStyle name="Accent1 18" xfId="865" xr:uid="{00000000-0005-0000-0000-0000C9020000}"/>
    <cellStyle name="Accent1 2" xfId="34" xr:uid="{00000000-0005-0000-0000-0000CA020000}"/>
    <cellStyle name="Accent1 2 2" xfId="866" xr:uid="{00000000-0005-0000-0000-0000CB020000}"/>
    <cellStyle name="Accent1 2 3" xfId="867" xr:uid="{00000000-0005-0000-0000-0000CC020000}"/>
    <cellStyle name="Accent1 2 4" xfId="868" xr:uid="{00000000-0005-0000-0000-0000CD020000}"/>
    <cellStyle name="Accent1 2 5" xfId="869" xr:uid="{00000000-0005-0000-0000-0000CE020000}"/>
    <cellStyle name="Accent1 3" xfId="870" xr:uid="{00000000-0005-0000-0000-0000CF020000}"/>
    <cellStyle name="Accent1 4" xfId="871" xr:uid="{00000000-0005-0000-0000-0000D0020000}"/>
    <cellStyle name="Accent1 5" xfId="872" xr:uid="{00000000-0005-0000-0000-0000D1020000}"/>
    <cellStyle name="Accent1 6" xfId="873" xr:uid="{00000000-0005-0000-0000-0000D2020000}"/>
    <cellStyle name="Accent1 7" xfId="874" xr:uid="{00000000-0005-0000-0000-0000D3020000}"/>
    <cellStyle name="Accent1 8" xfId="875" xr:uid="{00000000-0005-0000-0000-0000D4020000}"/>
    <cellStyle name="Accent1 9" xfId="876" xr:uid="{00000000-0005-0000-0000-0000D5020000}"/>
    <cellStyle name="Accent2 10" xfId="877" xr:uid="{00000000-0005-0000-0000-0000D6020000}"/>
    <cellStyle name="Accent2 11" xfId="878" xr:uid="{00000000-0005-0000-0000-0000D7020000}"/>
    <cellStyle name="Accent2 12" xfId="879" xr:uid="{00000000-0005-0000-0000-0000D8020000}"/>
    <cellStyle name="Accent2 13" xfId="880" xr:uid="{00000000-0005-0000-0000-0000D9020000}"/>
    <cellStyle name="Accent2 14" xfId="881" xr:uid="{00000000-0005-0000-0000-0000DA020000}"/>
    <cellStyle name="Accent2 15" xfId="882" xr:uid="{00000000-0005-0000-0000-0000DB020000}"/>
    <cellStyle name="Accent2 16" xfId="883" xr:uid="{00000000-0005-0000-0000-0000DC020000}"/>
    <cellStyle name="Accent2 17" xfId="884" xr:uid="{00000000-0005-0000-0000-0000DD020000}"/>
    <cellStyle name="Accent2 18" xfId="885" xr:uid="{00000000-0005-0000-0000-0000DE020000}"/>
    <cellStyle name="Accent2 2" xfId="35" xr:uid="{00000000-0005-0000-0000-0000DF020000}"/>
    <cellStyle name="Accent2 2 2" xfId="886" xr:uid="{00000000-0005-0000-0000-0000E0020000}"/>
    <cellStyle name="Accent2 2 3" xfId="887" xr:uid="{00000000-0005-0000-0000-0000E1020000}"/>
    <cellStyle name="Accent2 2 4" xfId="888" xr:uid="{00000000-0005-0000-0000-0000E2020000}"/>
    <cellStyle name="Accent2 2 5" xfId="889" xr:uid="{00000000-0005-0000-0000-0000E3020000}"/>
    <cellStyle name="Accent2 3" xfId="890" xr:uid="{00000000-0005-0000-0000-0000E4020000}"/>
    <cellStyle name="Accent2 4" xfId="891" xr:uid="{00000000-0005-0000-0000-0000E5020000}"/>
    <cellStyle name="Accent2 5" xfId="892" xr:uid="{00000000-0005-0000-0000-0000E6020000}"/>
    <cellStyle name="Accent2 6" xfId="893" xr:uid="{00000000-0005-0000-0000-0000E7020000}"/>
    <cellStyle name="Accent2 7" xfId="894" xr:uid="{00000000-0005-0000-0000-0000E8020000}"/>
    <cellStyle name="Accent2 8" xfId="895" xr:uid="{00000000-0005-0000-0000-0000E9020000}"/>
    <cellStyle name="Accent2 9" xfId="896" xr:uid="{00000000-0005-0000-0000-0000EA020000}"/>
    <cellStyle name="Accent3 10" xfId="897" xr:uid="{00000000-0005-0000-0000-0000EB020000}"/>
    <cellStyle name="Accent3 11" xfId="898" xr:uid="{00000000-0005-0000-0000-0000EC020000}"/>
    <cellStyle name="Accent3 12" xfId="899" xr:uid="{00000000-0005-0000-0000-0000ED020000}"/>
    <cellStyle name="Accent3 13" xfId="900" xr:uid="{00000000-0005-0000-0000-0000EE020000}"/>
    <cellStyle name="Accent3 14" xfId="901" xr:uid="{00000000-0005-0000-0000-0000EF020000}"/>
    <cellStyle name="Accent3 15" xfId="902" xr:uid="{00000000-0005-0000-0000-0000F0020000}"/>
    <cellStyle name="Accent3 16" xfId="903" xr:uid="{00000000-0005-0000-0000-0000F1020000}"/>
    <cellStyle name="Accent3 17" xfId="904" xr:uid="{00000000-0005-0000-0000-0000F2020000}"/>
    <cellStyle name="Accent3 18" xfId="905" xr:uid="{00000000-0005-0000-0000-0000F3020000}"/>
    <cellStyle name="Accent3 2" xfId="36" xr:uid="{00000000-0005-0000-0000-0000F4020000}"/>
    <cellStyle name="Accent3 2 2" xfId="906" xr:uid="{00000000-0005-0000-0000-0000F5020000}"/>
    <cellStyle name="Accent3 2 3" xfId="907" xr:uid="{00000000-0005-0000-0000-0000F6020000}"/>
    <cellStyle name="Accent3 2 4" xfId="908" xr:uid="{00000000-0005-0000-0000-0000F7020000}"/>
    <cellStyle name="Accent3 2 5" xfId="909" xr:uid="{00000000-0005-0000-0000-0000F8020000}"/>
    <cellStyle name="Accent3 3" xfId="910" xr:uid="{00000000-0005-0000-0000-0000F9020000}"/>
    <cellStyle name="Accent3 4" xfId="911" xr:uid="{00000000-0005-0000-0000-0000FA020000}"/>
    <cellStyle name="Accent3 5" xfId="912" xr:uid="{00000000-0005-0000-0000-0000FB020000}"/>
    <cellStyle name="Accent3 6" xfId="913" xr:uid="{00000000-0005-0000-0000-0000FC020000}"/>
    <cellStyle name="Accent3 7" xfId="914" xr:uid="{00000000-0005-0000-0000-0000FD020000}"/>
    <cellStyle name="Accent3 8" xfId="915" xr:uid="{00000000-0005-0000-0000-0000FE020000}"/>
    <cellStyle name="Accent3 9" xfId="916" xr:uid="{00000000-0005-0000-0000-0000FF020000}"/>
    <cellStyle name="Accent4 10" xfId="917" xr:uid="{00000000-0005-0000-0000-000000030000}"/>
    <cellStyle name="Accent4 11" xfId="918" xr:uid="{00000000-0005-0000-0000-000001030000}"/>
    <cellStyle name="Accent4 12" xfId="919" xr:uid="{00000000-0005-0000-0000-000002030000}"/>
    <cellStyle name="Accent4 13" xfId="920" xr:uid="{00000000-0005-0000-0000-000003030000}"/>
    <cellStyle name="Accent4 14" xfId="921" xr:uid="{00000000-0005-0000-0000-000004030000}"/>
    <cellStyle name="Accent4 15" xfId="922" xr:uid="{00000000-0005-0000-0000-000005030000}"/>
    <cellStyle name="Accent4 16" xfId="923" xr:uid="{00000000-0005-0000-0000-000006030000}"/>
    <cellStyle name="Accent4 17" xfId="924" xr:uid="{00000000-0005-0000-0000-000007030000}"/>
    <cellStyle name="Accent4 18" xfId="925" xr:uid="{00000000-0005-0000-0000-000008030000}"/>
    <cellStyle name="Accent4 2" xfId="37" xr:uid="{00000000-0005-0000-0000-000009030000}"/>
    <cellStyle name="Accent4 2 2" xfId="926" xr:uid="{00000000-0005-0000-0000-00000A030000}"/>
    <cellStyle name="Accent4 2 3" xfId="927" xr:uid="{00000000-0005-0000-0000-00000B030000}"/>
    <cellStyle name="Accent4 2 4" xfId="928" xr:uid="{00000000-0005-0000-0000-00000C030000}"/>
    <cellStyle name="Accent4 2 5" xfId="929" xr:uid="{00000000-0005-0000-0000-00000D030000}"/>
    <cellStyle name="Accent4 3" xfId="930" xr:uid="{00000000-0005-0000-0000-00000E030000}"/>
    <cellStyle name="Accent4 4" xfId="931" xr:uid="{00000000-0005-0000-0000-00000F030000}"/>
    <cellStyle name="Accent4 5" xfId="932" xr:uid="{00000000-0005-0000-0000-000010030000}"/>
    <cellStyle name="Accent4 6" xfId="933" xr:uid="{00000000-0005-0000-0000-000011030000}"/>
    <cellStyle name="Accent4 7" xfId="934" xr:uid="{00000000-0005-0000-0000-000012030000}"/>
    <cellStyle name="Accent4 8" xfId="935" xr:uid="{00000000-0005-0000-0000-000013030000}"/>
    <cellStyle name="Accent4 9" xfId="936" xr:uid="{00000000-0005-0000-0000-000014030000}"/>
    <cellStyle name="Accent5 10" xfId="937" xr:uid="{00000000-0005-0000-0000-000015030000}"/>
    <cellStyle name="Accent5 11" xfId="938" xr:uid="{00000000-0005-0000-0000-000016030000}"/>
    <cellStyle name="Accent5 12" xfId="939" xr:uid="{00000000-0005-0000-0000-000017030000}"/>
    <cellStyle name="Accent5 13" xfId="940" xr:uid="{00000000-0005-0000-0000-000018030000}"/>
    <cellStyle name="Accent5 14" xfId="941" xr:uid="{00000000-0005-0000-0000-000019030000}"/>
    <cellStyle name="Accent5 15" xfId="942" xr:uid="{00000000-0005-0000-0000-00001A030000}"/>
    <cellStyle name="Accent5 16" xfId="943" xr:uid="{00000000-0005-0000-0000-00001B030000}"/>
    <cellStyle name="Accent5 17" xfId="944" xr:uid="{00000000-0005-0000-0000-00001C030000}"/>
    <cellStyle name="Accent5 18" xfId="945" xr:uid="{00000000-0005-0000-0000-00001D030000}"/>
    <cellStyle name="Accent5 2" xfId="38" xr:uid="{00000000-0005-0000-0000-00001E030000}"/>
    <cellStyle name="Accent5 2 2" xfId="946" xr:uid="{00000000-0005-0000-0000-00001F030000}"/>
    <cellStyle name="Accent5 2 3" xfId="947" xr:uid="{00000000-0005-0000-0000-000020030000}"/>
    <cellStyle name="Accent5 2 4" xfId="948" xr:uid="{00000000-0005-0000-0000-000021030000}"/>
    <cellStyle name="Accent5 2 5" xfId="949" xr:uid="{00000000-0005-0000-0000-000022030000}"/>
    <cellStyle name="Accent5 3" xfId="950" xr:uid="{00000000-0005-0000-0000-000023030000}"/>
    <cellStyle name="Accent5 4" xfId="951" xr:uid="{00000000-0005-0000-0000-000024030000}"/>
    <cellStyle name="Accent5 5" xfId="952" xr:uid="{00000000-0005-0000-0000-000025030000}"/>
    <cellStyle name="Accent5 6" xfId="953" xr:uid="{00000000-0005-0000-0000-000026030000}"/>
    <cellStyle name="Accent5 7" xfId="954" xr:uid="{00000000-0005-0000-0000-000027030000}"/>
    <cellStyle name="Accent5 8" xfId="955" xr:uid="{00000000-0005-0000-0000-000028030000}"/>
    <cellStyle name="Accent5 9" xfId="956" xr:uid="{00000000-0005-0000-0000-000029030000}"/>
    <cellStyle name="Accent6 10" xfId="957" xr:uid="{00000000-0005-0000-0000-00002A030000}"/>
    <cellStyle name="Accent6 11" xfId="958" xr:uid="{00000000-0005-0000-0000-00002B030000}"/>
    <cellStyle name="Accent6 12" xfId="959" xr:uid="{00000000-0005-0000-0000-00002C030000}"/>
    <cellStyle name="Accent6 13" xfId="960" xr:uid="{00000000-0005-0000-0000-00002D030000}"/>
    <cellStyle name="Accent6 14" xfId="961" xr:uid="{00000000-0005-0000-0000-00002E030000}"/>
    <cellStyle name="Accent6 15" xfId="962" xr:uid="{00000000-0005-0000-0000-00002F030000}"/>
    <cellStyle name="Accent6 16" xfId="963" xr:uid="{00000000-0005-0000-0000-000030030000}"/>
    <cellStyle name="Accent6 17" xfId="964" xr:uid="{00000000-0005-0000-0000-000031030000}"/>
    <cellStyle name="Accent6 18" xfId="965" xr:uid="{00000000-0005-0000-0000-000032030000}"/>
    <cellStyle name="Accent6 2" xfId="39" xr:uid="{00000000-0005-0000-0000-000033030000}"/>
    <cellStyle name="Accent6 2 2" xfId="966" xr:uid="{00000000-0005-0000-0000-000034030000}"/>
    <cellStyle name="Accent6 2 3" xfId="967" xr:uid="{00000000-0005-0000-0000-000035030000}"/>
    <cellStyle name="Accent6 2 4" xfId="968" xr:uid="{00000000-0005-0000-0000-000036030000}"/>
    <cellStyle name="Accent6 2 5" xfId="969" xr:uid="{00000000-0005-0000-0000-000037030000}"/>
    <cellStyle name="Accent6 3" xfId="970" xr:uid="{00000000-0005-0000-0000-000038030000}"/>
    <cellStyle name="Accent6 4" xfId="971" xr:uid="{00000000-0005-0000-0000-000039030000}"/>
    <cellStyle name="Accent6 5" xfId="972" xr:uid="{00000000-0005-0000-0000-00003A030000}"/>
    <cellStyle name="Accent6 6" xfId="973" xr:uid="{00000000-0005-0000-0000-00003B030000}"/>
    <cellStyle name="Accent6 7" xfId="974" xr:uid="{00000000-0005-0000-0000-00003C030000}"/>
    <cellStyle name="Accent6 8" xfId="975" xr:uid="{00000000-0005-0000-0000-00003D030000}"/>
    <cellStyle name="Accent6 9" xfId="976" xr:uid="{00000000-0005-0000-0000-00003E030000}"/>
    <cellStyle name="Accounting" xfId="40" xr:uid="{00000000-0005-0000-0000-00003F030000}"/>
    <cellStyle name="Actual Date" xfId="41" xr:uid="{00000000-0005-0000-0000-000040030000}"/>
    <cellStyle name="Actual Date 2" xfId="4280" xr:uid="{00000000-0005-0000-0000-000041030000}"/>
    <cellStyle name="ADDR" xfId="42" xr:uid="{00000000-0005-0000-0000-000042030000}"/>
    <cellStyle name="Agara" xfId="43" xr:uid="{00000000-0005-0000-0000-000043030000}"/>
    <cellStyle name="Align-top" xfId="4281" xr:uid="{00000000-0005-0000-0000-000044030000}"/>
    <cellStyle name="Alternate Rows" xfId="4282" xr:uid="{00000000-0005-0000-0000-000045030000}"/>
    <cellStyle name="Alternate Yellow" xfId="4283" xr:uid="{00000000-0005-0000-0000-000046030000}"/>
    <cellStyle name="Bad 10" xfId="977" xr:uid="{00000000-0005-0000-0000-000047030000}"/>
    <cellStyle name="Bad 11" xfId="978" xr:uid="{00000000-0005-0000-0000-000048030000}"/>
    <cellStyle name="Bad 12" xfId="979" xr:uid="{00000000-0005-0000-0000-000049030000}"/>
    <cellStyle name="Bad 13" xfId="980" xr:uid="{00000000-0005-0000-0000-00004A030000}"/>
    <cellStyle name="Bad 14" xfId="981" xr:uid="{00000000-0005-0000-0000-00004B030000}"/>
    <cellStyle name="Bad 15" xfId="982" xr:uid="{00000000-0005-0000-0000-00004C030000}"/>
    <cellStyle name="Bad 16" xfId="983" xr:uid="{00000000-0005-0000-0000-00004D030000}"/>
    <cellStyle name="Bad 17" xfId="984" xr:uid="{00000000-0005-0000-0000-00004E030000}"/>
    <cellStyle name="Bad 18" xfId="985" xr:uid="{00000000-0005-0000-0000-00004F030000}"/>
    <cellStyle name="Bad 2" xfId="44" xr:uid="{00000000-0005-0000-0000-000050030000}"/>
    <cellStyle name="Bad 2 2" xfId="986" xr:uid="{00000000-0005-0000-0000-000051030000}"/>
    <cellStyle name="Bad 2 3" xfId="987" xr:uid="{00000000-0005-0000-0000-000052030000}"/>
    <cellStyle name="Bad 2 4" xfId="988" xr:uid="{00000000-0005-0000-0000-000053030000}"/>
    <cellStyle name="Bad 2 5" xfId="989" xr:uid="{00000000-0005-0000-0000-000054030000}"/>
    <cellStyle name="Bad 3" xfId="990" xr:uid="{00000000-0005-0000-0000-000055030000}"/>
    <cellStyle name="Bad 4" xfId="991" xr:uid="{00000000-0005-0000-0000-000056030000}"/>
    <cellStyle name="Bad 5" xfId="992" xr:uid="{00000000-0005-0000-0000-000057030000}"/>
    <cellStyle name="Bad 6" xfId="993" xr:uid="{00000000-0005-0000-0000-000058030000}"/>
    <cellStyle name="Bad 7" xfId="994" xr:uid="{00000000-0005-0000-0000-000059030000}"/>
    <cellStyle name="Bad 8" xfId="995" xr:uid="{00000000-0005-0000-0000-00005A030000}"/>
    <cellStyle name="Bad 9" xfId="996" xr:uid="{00000000-0005-0000-0000-00005B030000}"/>
    <cellStyle name="Basic" xfId="4484" xr:uid="{00000000-0005-0000-0000-00005C030000}"/>
    <cellStyle name="black" xfId="4158" xr:uid="{00000000-0005-0000-0000-00005D030000}"/>
    <cellStyle name="blu" xfId="4159" xr:uid="{00000000-0005-0000-0000-00005E030000}"/>
    <cellStyle name="Body" xfId="45" xr:uid="{00000000-0005-0000-0000-00005F030000}"/>
    <cellStyle name="Bold Red" xfId="4284" xr:uid="{00000000-0005-0000-0000-000060030000}"/>
    <cellStyle name="bot" xfId="4160" xr:uid="{00000000-0005-0000-0000-000061030000}"/>
    <cellStyle name="Bottom bold border" xfId="46" xr:uid="{00000000-0005-0000-0000-000062030000}"/>
    <cellStyle name="Bottom single border" xfId="47" xr:uid="{00000000-0005-0000-0000-000063030000}"/>
    <cellStyle name="Bullet" xfId="4161" xr:uid="{00000000-0005-0000-0000-000064030000}"/>
    <cellStyle name="Bullet [0]" xfId="4485" xr:uid="{00000000-0005-0000-0000-000065030000}"/>
    <cellStyle name="Bullet [2]" xfId="4486" xr:uid="{00000000-0005-0000-0000-000066030000}"/>
    <cellStyle name="Bullet [4]" xfId="4487" xr:uid="{00000000-0005-0000-0000-000067030000}"/>
    <cellStyle name="Business Unit" xfId="48" xr:uid="{00000000-0005-0000-0000-000068030000}"/>
    <cellStyle name="c" xfId="4162" xr:uid="{00000000-0005-0000-0000-000069030000}"/>
    <cellStyle name="c," xfId="4163" xr:uid="{00000000-0005-0000-0000-00006A030000}"/>
    <cellStyle name="c_HardInc " xfId="4164" xr:uid="{00000000-0005-0000-0000-00006B030000}"/>
    <cellStyle name="c_HardInc _ITC Great Plains Formula 1-12-09a" xfId="4488" xr:uid="{00000000-0005-0000-0000-00006C030000}"/>
    <cellStyle name="C00A" xfId="49" xr:uid="{00000000-0005-0000-0000-00006D030000}"/>
    <cellStyle name="C00B" xfId="50" xr:uid="{00000000-0005-0000-0000-00006E030000}"/>
    <cellStyle name="C00L" xfId="51" xr:uid="{00000000-0005-0000-0000-00006F030000}"/>
    <cellStyle name="C01A" xfId="52" xr:uid="{00000000-0005-0000-0000-000070030000}"/>
    <cellStyle name="C01B" xfId="53" xr:uid="{00000000-0005-0000-0000-000071030000}"/>
    <cellStyle name="C01H" xfId="54" xr:uid="{00000000-0005-0000-0000-000072030000}"/>
    <cellStyle name="C01L" xfId="55" xr:uid="{00000000-0005-0000-0000-000073030000}"/>
    <cellStyle name="C02A" xfId="56" xr:uid="{00000000-0005-0000-0000-000074030000}"/>
    <cellStyle name="C02B" xfId="57" xr:uid="{00000000-0005-0000-0000-000075030000}"/>
    <cellStyle name="C02H" xfId="58" xr:uid="{00000000-0005-0000-0000-000076030000}"/>
    <cellStyle name="C02L" xfId="59" xr:uid="{00000000-0005-0000-0000-000077030000}"/>
    <cellStyle name="C03A" xfId="60" xr:uid="{00000000-0005-0000-0000-000078030000}"/>
    <cellStyle name="C03B" xfId="61" xr:uid="{00000000-0005-0000-0000-000079030000}"/>
    <cellStyle name="C03H" xfId="62" xr:uid="{00000000-0005-0000-0000-00007A030000}"/>
    <cellStyle name="C03L" xfId="63" xr:uid="{00000000-0005-0000-0000-00007B030000}"/>
    <cellStyle name="C04A" xfId="64" xr:uid="{00000000-0005-0000-0000-00007C030000}"/>
    <cellStyle name="C04B" xfId="65" xr:uid="{00000000-0005-0000-0000-00007D030000}"/>
    <cellStyle name="C04H" xfId="66" xr:uid="{00000000-0005-0000-0000-00007E030000}"/>
    <cellStyle name="C04L" xfId="67" xr:uid="{00000000-0005-0000-0000-00007F030000}"/>
    <cellStyle name="C05A" xfId="68" xr:uid="{00000000-0005-0000-0000-000080030000}"/>
    <cellStyle name="C05B" xfId="69" xr:uid="{00000000-0005-0000-0000-000081030000}"/>
    <cellStyle name="C05H" xfId="70" xr:uid="{00000000-0005-0000-0000-000082030000}"/>
    <cellStyle name="C05L" xfId="71" xr:uid="{00000000-0005-0000-0000-000083030000}"/>
    <cellStyle name="C05L 2" xfId="4165" xr:uid="{00000000-0005-0000-0000-000084030000}"/>
    <cellStyle name="C06A" xfId="72" xr:uid="{00000000-0005-0000-0000-000085030000}"/>
    <cellStyle name="C06B" xfId="73" xr:uid="{00000000-0005-0000-0000-000086030000}"/>
    <cellStyle name="C06H" xfId="74" xr:uid="{00000000-0005-0000-0000-000087030000}"/>
    <cellStyle name="C06L" xfId="75" xr:uid="{00000000-0005-0000-0000-000088030000}"/>
    <cellStyle name="C07A" xfId="76" xr:uid="{00000000-0005-0000-0000-000089030000}"/>
    <cellStyle name="C07B" xfId="77" xr:uid="{00000000-0005-0000-0000-00008A030000}"/>
    <cellStyle name="C07H" xfId="78" xr:uid="{00000000-0005-0000-0000-00008B030000}"/>
    <cellStyle name="C07L" xfId="79" xr:uid="{00000000-0005-0000-0000-00008C030000}"/>
    <cellStyle name="c1" xfId="4166" xr:uid="{00000000-0005-0000-0000-00008D030000}"/>
    <cellStyle name="c1," xfId="4167" xr:uid="{00000000-0005-0000-0000-00008E030000}"/>
    <cellStyle name="c2" xfId="4168" xr:uid="{00000000-0005-0000-0000-00008F030000}"/>
    <cellStyle name="c2," xfId="4169" xr:uid="{00000000-0005-0000-0000-000090030000}"/>
    <cellStyle name="c3" xfId="4170" xr:uid="{00000000-0005-0000-0000-000091030000}"/>
    <cellStyle name="Calculation 10" xfId="997" xr:uid="{00000000-0005-0000-0000-000092030000}"/>
    <cellStyle name="Calculation 11" xfId="998" xr:uid="{00000000-0005-0000-0000-000093030000}"/>
    <cellStyle name="Calculation 12" xfId="999" xr:uid="{00000000-0005-0000-0000-000094030000}"/>
    <cellStyle name="Calculation 13" xfId="1000" xr:uid="{00000000-0005-0000-0000-000095030000}"/>
    <cellStyle name="Calculation 14" xfId="1001" xr:uid="{00000000-0005-0000-0000-000096030000}"/>
    <cellStyle name="Calculation 15" xfId="1002" xr:uid="{00000000-0005-0000-0000-000097030000}"/>
    <cellStyle name="Calculation 16" xfId="1003" xr:uid="{00000000-0005-0000-0000-000098030000}"/>
    <cellStyle name="Calculation 17" xfId="1004" xr:uid="{00000000-0005-0000-0000-000099030000}"/>
    <cellStyle name="Calculation 18" xfId="1005" xr:uid="{00000000-0005-0000-0000-00009A030000}"/>
    <cellStyle name="Calculation 2" xfId="80" xr:uid="{00000000-0005-0000-0000-00009B030000}"/>
    <cellStyle name="Calculation 2 2" xfId="1006" xr:uid="{00000000-0005-0000-0000-00009C030000}"/>
    <cellStyle name="Calculation 2 3" xfId="1007" xr:uid="{00000000-0005-0000-0000-00009D030000}"/>
    <cellStyle name="Calculation 2 4" xfId="1008" xr:uid="{00000000-0005-0000-0000-00009E030000}"/>
    <cellStyle name="Calculation 2 5" xfId="1009" xr:uid="{00000000-0005-0000-0000-00009F030000}"/>
    <cellStyle name="Calculation 3" xfId="1010" xr:uid="{00000000-0005-0000-0000-0000A0030000}"/>
    <cellStyle name="Calculation 4" xfId="1011" xr:uid="{00000000-0005-0000-0000-0000A1030000}"/>
    <cellStyle name="Calculation 5" xfId="1012" xr:uid="{00000000-0005-0000-0000-0000A2030000}"/>
    <cellStyle name="Calculation 6" xfId="1013" xr:uid="{00000000-0005-0000-0000-0000A3030000}"/>
    <cellStyle name="Calculation 7" xfId="1014" xr:uid="{00000000-0005-0000-0000-0000A4030000}"/>
    <cellStyle name="Calculation 8" xfId="1015" xr:uid="{00000000-0005-0000-0000-0000A5030000}"/>
    <cellStyle name="Calculation 9" xfId="1016" xr:uid="{00000000-0005-0000-0000-0000A6030000}"/>
    <cellStyle name="Cancel" xfId="4285" xr:uid="{00000000-0005-0000-0000-0000A7030000}"/>
    <cellStyle name="cas" xfId="4171" xr:uid="{00000000-0005-0000-0000-0000A8030000}"/>
    <cellStyle name="Centered Heading" xfId="4172" xr:uid="{00000000-0005-0000-0000-0000A9030000}"/>
    <cellStyle name="Check Cell 10" xfId="1017" xr:uid="{00000000-0005-0000-0000-0000AA030000}"/>
    <cellStyle name="Check Cell 11" xfId="1018" xr:uid="{00000000-0005-0000-0000-0000AB030000}"/>
    <cellStyle name="Check Cell 12" xfId="1019" xr:uid="{00000000-0005-0000-0000-0000AC030000}"/>
    <cellStyle name="Check Cell 13" xfId="1020" xr:uid="{00000000-0005-0000-0000-0000AD030000}"/>
    <cellStyle name="Check Cell 14" xfId="1021" xr:uid="{00000000-0005-0000-0000-0000AE030000}"/>
    <cellStyle name="Check Cell 15" xfId="1022" xr:uid="{00000000-0005-0000-0000-0000AF030000}"/>
    <cellStyle name="Check Cell 16" xfId="1023" xr:uid="{00000000-0005-0000-0000-0000B0030000}"/>
    <cellStyle name="Check Cell 17" xfId="1024" xr:uid="{00000000-0005-0000-0000-0000B1030000}"/>
    <cellStyle name="Check Cell 18" xfId="1025" xr:uid="{00000000-0005-0000-0000-0000B2030000}"/>
    <cellStyle name="Check Cell 2" xfId="81" xr:uid="{00000000-0005-0000-0000-0000B3030000}"/>
    <cellStyle name="Check Cell 2 2" xfId="1026" xr:uid="{00000000-0005-0000-0000-0000B4030000}"/>
    <cellStyle name="Check Cell 2 3" xfId="1027" xr:uid="{00000000-0005-0000-0000-0000B5030000}"/>
    <cellStyle name="Check Cell 2 4" xfId="1028" xr:uid="{00000000-0005-0000-0000-0000B6030000}"/>
    <cellStyle name="Check Cell 2 5" xfId="1029" xr:uid="{00000000-0005-0000-0000-0000B7030000}"/>
    <cellStyle name="Check Cell 3" xfId="1030" xr:uid="{00000000-0005-0000-0000-0000B8030000}"/>
    <cellStyle name="Check Cell 4" xfId="1031" xr:uid="{00000000-0005-0000-0000-0000B9030000}"/>
    <cellStyle name="Check Cell 5" xfId="1032" xr:uid="{00000000-0005-0000-0000-0000BA030000}"/>
    <cellStyle name="Check Cell 6" xfId="1033" xr:uid="{00000000-0005-0000-0000-0000BB030000}"/>
    <cellStyle name="Check Cell 7" xfId="1034" xr:uid="{00000000-0005-0000-0000-0000BC030000}"/>
    <cellStyle name="Check Cell 8" xfId="1035" xr:uid="{00000000-0005-0000-0000-0000BD030000}"/>
    <cellStyle name="Check Cell 9" xfId="1036" xr:uid="{00000000-0005-0000-0000-0000BE030000}"/>
    <cellStyle name="Column.Head" xfId="4286" xr:uid="{00000000-0005-0000-0000-0000BF030000}"/>
    <cellStyle name="Comma" xfId="4665" builtinId="3"/>
    <cellStyle name="Comma  - Style1" xfId="4489" xr:uid="{00000000-0005-0000-0000-0000C1030000}"/>
    <cellStyle name="Comma  - Style2" xfId="4490" xr:uid="{00000000-0005-0000-0000-0000C2030000}"/>
    <cellStyle name="Comma  - Style3" xfId="4491" xr:uid="{00000000-0005-0000-0000-0000C3030000}"/>
    <cellStyle name="Comma  - Style4" xfId="4492" xr:uid="{00000000-0005-0000-0000-0000C4030000}"/>
    <cellStyle name="Comma  - Style5" xfId="4493" xr:uid="{00000000-0005-0000-0000-0000C5030000}"/>
    <cellStyle name="Comma  - Style6" xfId="4494" xr:uid="{00000000-0005-0000-0000-0000C6030000}"/>
    <cellStyle name="Comma  - Style7" xfId="4495" xr:uid="{00000000-0005-0000-0000-0000C7030000}"/>
    <cellStyle name="Comma  - Style8" xfId="4496" xr:uid="{00000000-0005-0000-0000-0000C8030000}"/>
    <cellStyle name="Comma [0] 2" xfId="1037" xr:uid="{00000000-0005-0000-0000-0000C9030000}"/>
    <cellStyle name="Comma [0] 3" xfId="4173" xr:uid="{00000000-0005-0000-0000-0000CA030000}"/>
    <cellStyle name="Comma [0] 3 2" xfId="4683" xr:uid="{00000000-0005-0000-0000-0000CB030000}"/>
    <cellStyle name="Comma [0] 4" xfId="4174" xr:uid="{00000000-0005-0000-0000-0000CC030000}"/>
    <cellStyle name="Comma [1]" xfId="4287" xr:uid="{00000000-0005-0000-0000-0000CD030000}"/>
    <cellStyle name="Comma [2]" xfId="4288" xr:uid="{00000000-0005-0000-0000-0000CE030000}"/>
    <cellStyle name="Comma [3]" xfId="4497" xr:uid="{00000000-0005-0000-0000-0000CF030000}"/>
    <cellStyle name="Comma 0" xfId="82" xr:uid="{00000000-0005-0000-0000-0000D0030000}"/>
    <cellStyle name="Comma 0.0" xfId="4175" xr:uid="{00000000-0005-0000-0000-0000D1030000}"/>
    <cellStyle name="Comma 0.00" xfId="4176" xr:uid="{00000000-0005-0000-0000-0000D2030000}"/>
    <cellStyle name="Comma 0.000" xfId="4177" xr:uid="{00000000-0005-0000-0000-0000D3030000}"/>
    <cellStyle name="Comma 0.0000" xfId="4178" xr:uid="{00000000-0005-0000-0000-0000D4030000}"/>
    <cellStyle name="Comma 10" xfId="190" xr:uid="{00000000-0005-0000-0000-0000D5030000}"/>
    <cellStyle name="Comma 10 2" xfId="1038" xr:uid="{00000000-0005-0000-0000-0000D6030000}"/>
    <cellStyle name="Comma 10 2 2" xfId="1039" xr:uid="{00000000-0005-0000-0000-0000D7030000}"/>
    <cellStyle name="Comma 10 3" xfId="1040" xr:uid="{00000000-0005-0000-0000-0000D8030000}"/>
    <cellStyle name="Comma 10 4" xfId="4498" xr:uid="{00000000-0005-0000-0000-0000D9030000}"/>
    <cellStyle name="Comma 10 5" xfId="4499" xr:uid="{00000000-0005-0000-0000-0000DA030000}"/>
    <cellStyle name="Comma 10 6" xfId="4477" xr:uid="{00000000-0005-0000-0000-0000DB030000}"/>
    <cellStyle name="Comma 11" xfId="1041" xr:uid="{00000000-0005-0000-0000-0000DC030000}"/>
    <cellStyle name="Comma 12" xfId="1042" xr:uid="{00000000-0005-0000-0000-0000DD030000}"/>
    <cellStyle name="Comma 12 2" xfId="4684" xr:uid="{00000000-0005-0000-0000-0000DE030000}"/>
    <cellStyle name="Comma 12 2 2" xfId="4692" xr:uid="{00000000-0005-0000-0000-0000DF030000}"/>
    <cellStyle name="Comma 12 3" xfId="4678" xr:uid="{00000000-0005-0000-0000-0000E0030000}"/>
    <cellStyle name="Comma 13" xfId="1043" xr:uid="{00000000-0005-0000-0000-0000E1030000}"/>
    <cellStyle name="Comma 13 2" xfId="4681" xr:uid="{00000000-0005-0000-0000-0000E2030000}"/>
    <cellStyle name="Comma 13 2 2" xfId="4691" xr:uid="{00000000-0005-0000-0000-0000E3030000}"/>
    <cellStyle name="Comma 14" xfId="1044" xr:uid="{00000000-0005-0000-0000-0000E4030000}"/>
    <cellStyle name="Comma 15" xfId="1045" xr:uid="{00000000-0005-0000-0000-0000E5030000}"/>
    <cellStyle name="Comma 16" xfId="1046" xr:uid="{00000000-0005-0000-0000-0000E6030000}"/>
    <cellStyle name="Comma 17" xfId="1047" xr:uid="{00000000-0005-0000-0000-0000E7030000}"/>
    <cellStyle name="Comma 18" xfId="1048" xr:uid="{00000000-0005-0000-0000-0000E8030000}"/>
    <cellStyle name="Comma 19" xfId="1049" xr:uid="{00000000-0005-0000-0000-0000E9030000}"/>
    <cellStyle name="Comma 2" xfId="2" xr:uid="{00000000-0005-0000-0000-0000EA030000}"/>
    <cellStyle name="Comma 2 2" xfId="1050" xr:uid="{00000000-0005-0000-0000-0000EB030000}"/>
    <cellStyle name="Comma 2 2 2" xfId="4685" xr:uid="{00000000-0005-0000-0000-0000EC030000}"/>
    <cellStyle name="Comma 2 3" xfId="1051" xr:uid="{00000000-0005-0000-0000-0000ED030000}"/>
    <cellStyle name="Comma 2 3 2" xfId="1052" xr:uid="{00000000-0005-0000-0000-0000EE030000}"/>
    <cellStyle name="Comma 2 3 2 2" xfId="1053" xr:uid="{00000000-0005-0000-0000-0000EF030000}"/>
    <cellStyle name="Comma 2 3 3" xfId="1054" xr:uid="{00000000-0005-0000-0000-0000F0030000}"/>
    <cellStyle name="Comma 2 4" xfId="1055" xr:uid="{00000000-0005-0000-0000-0000F1030000}"/>
    <cellStyle name="Comma 2 5" xfId="1056" xr:uid="{00000000-0005-0000-0000-0000F2030000}"/>
    <cellStyle name="Comma 20" xfId="1057" xr:uid="{00000000-0005-0000-0000-0000F3030000}"/>
    <cellStyle name="Comma 21" xfId="1058" xr:uid="{00000000-0005-0000-0000-0000F4030000}"/>
    <cellStyle name="Comma 22" xfId="1059" xr:uid="{00000000-0005-0000-0000-0000F5030000}"/>
    <cellStyle name="Comma 23" xfId="1060" xr:uid="{00000000-0005-0000-0000-0000F6030000}"/>
    <cellStyle name="Comma 24" xfId="1061" xr:uid="{00000000-0005-0000-0000-0000F7030000}"/>
    <cellStyle name="Comma 25" xfId="1062" xr:uid="{00000000-0005-0000-0000-0000F8030000}"/>
    <cellStyle name="Comma 26" xfId="1063" xr:uid="{00000000-0005-0000-0000-0000F9030000}"/>
    <cellStyle name="Comma 27" xfId="1064" xr:uid="{00000000-0005-0000-0000-0000FA030000}"/>
    <cellStyle name="Comma 28" xfId="1065" xr:uid="{00000000-0005-0000-0000-0000FB030000}"/>
    <cellStyle name="Comma 29" xfId="1066" xr:uid="{00000000-0005-0000-0000-0000FC030000}"/>
    <cellStyle name="Comma 3" xfId="83" xr:uid="{00000000-0005-0000-0000-0000FD030000}"/>
    <cellStyle name="Comma 3 2" xfId="1067" xr:uid="{00000000-0005-0000-0000-0000FE030000}"/>
    <cellStyle name="Comma 3 3" xfId="1068" xr:uid="{00000000-0005-0000-0000-0000FF030000}"/>
    <cellStyle name="Comma 3 3 2" xfId="1069" xr:uid="{00000000-0005-0000-0000-000000040000}"/>
    <cellStyle name="Comma 3 4" xfId="1070" xr:uid="{00000000-0005-0000-0000-000001040000}"/>
    <cellStyle name="Comma 30" xfId="1071" xr:uid="{00000000-0005-0000-0000-000002040000}"/>
    <cellStyle name="Comma 31" xfId="1072" xr:uid="{00000000-0005-0000-0000-000003040000}"/>
    <cellStyle name="Comma 32" xfId="1073" xr:uid="{00000000-0005-0000-0000-000004040000}"/>
    <cellStyle name="Comma 33" xfId="1074" xr:uid="{00000000-0005-0000-0000-000005040000}"/>
    <cellStyle name="Comma 34" xfId="1075" xr:uid="{00000000-0005-0000-0000-000006040000}"/>
    <cellStyle name="Comma 35" xfId="1076" xr:uid="{00000000-0005-0000-0000-000007040000}"/>
    <cellStyle name="Comma 36" xfId="1077" xr:uid="{00000000-0005-0000-0000-000008040000}"/>
    <cellStyle name="Comma 37" xfId="1078" xr:uid="{00000000-0005-0000-0000-000009040000}"/>
    <cellStyle name="Comma 38" xfId="1079" xr:uid="{00000000-0005-0000-0000-00000A040000}"/>
    <cellStyle name="Comma 39" xfId="1080" xr:uid="{00000000-0005-0000-0000-00000B040000}"/>
    <cellStyle name="Comma 4" xfId="84" xr:uid="{00000000-0005-0000-0000-00000C040000}"/>
    <cellStyle name="Comma 4 2" xfId="1081" xr:uid="{00000000-0005-0000-0000-00000D040000}"/>
    <cellStyle name="Comma 40" xfId="1082" xr:uid="{00000000-0005-0000-0000-00000E040000}"/>
    <cellStyle name="Comma 41" xfId="1083" xr:uid="{00000000-0005-0000-0000-00000F040000}"/>
    <cellStyle name="Comma 42" xfId="1084" xr:uid="{00000000-0005-0000-0000-000010040000}"/>
    <cellStyle name="Comma 43" xfId="1085" xr:uid="{00000000-0005-0000-0000-000011040000}"/>
    <cellStyle name="Comma 44" xfId="1086" xr:uid="{00000000-0005-0000-0000-000012040000}"/>
    <cellStyle name="Comma 45" xfId="1087" xr:uid="{00000000-0005-0000-0000-000013040000}"/>
    <cellStyle name="Comma 46" xfId="1088" xr:uid="{00000000-0005-0000-0000-000014040000}"/>
    <cellStyle name="Comma 47" xfId="1089" xr:uid="{00000000-0005-0000-0000-000015040000}"/>
    <cellStyle name="Comma 48" xfId="1090" xr:uid="{00000000-0005-0000-0000-000016040000}"/>
    <cellStyle name="Comma 49" xfId="1091" xr:uid="{00000000-0005-0000-0000-000017040000}"/>
    <cellStyle name="Comma 5" xfId="1092" xr:uid="{00000000-0005-0000-0000-000018040000}"/>
    <cellStyle name="Comma 5 2" xfId="1093" xr:uid="{00000000-0005-0000-0000-000019040000}"/>
    <cellStyle name="Comma 50" xfId="1094" xr:uid="{00000000-0005-0000-0000-00001A040000}"/>
    <cellStyle name="Comma 51" xfId="1095" xr:uid="{00000000-0005-0000-0000-00001B040000}"/>
    <cellStyle name="Comma 52" xfId="1096" xr:uid="{00000000-0005-0000-0000-00001C040000}"/>
    <cellStyle name="Comma 53" xfId="1097" xr:uid="{00000000-0005-0000-0000-00001D040000}"/>
    <cellStyle name="Comma 54" xfId="1098" xr:uid="{00000000-0005-0000-0000-00001E040000}"/>
    <cellStyle name="Comma 55" xfId="1099" xr:uid="{00000000-0005-0000-0000-00001F040000}"/>
    <cellStyle name="Comma 56" xfId="1100" xr:uid="{00000000-0005-0000-0000-000020040000}"/>
    <cellStyle name="Comma 57" xfId="1101" xr:uid="{00000000-0005-0000-0000-000021040000}"/>
    <cellStyle name="Comma 57 2" xfId="1102" xr:uid="{00000000-0005-0000-0000-000022040000}"/>
    <cellStyle name="Comma 58" xfId="1103" xr:uid="{00000000-0005-0000-0000-000023040000}"/>
    <cellStyle name="Comma 58 2" xfId="1104" xr:uid="{00000000-0005-0000-0000-000024040000}"/>
    <cellStyle name="Comma 59" xfId="1105" xr:uid="{00000000-0005-0000-0000-000025040000}"/>
    <cellStyle name="Comma 59 2" xfId="1106" xr:uid="{00000000-0005-0000-0000-000026040000}"/>
    <cellStyle name="Comma 6" xfId="1107" xr:uid="{00000000-0005-0000-0000-000027040000}"/>
    <cellStyle name="Comma 6 2" xfId="1108" xr:uid="{00000000-0005-0000-0000-000028040000}"/>
    <cellStyle name="Comma 6 3" xfId="4289" xr:uid="{00000000-0005-0000-0000-000029040000}"/>
    <cellStyle name="Comma 60" xfId="1109" xr:uid="{00000000-0005-0000-0000-00002A040000}"/>
    <cellStyle name="Comma 60 2" xfId="1110" xr:uid="{00000000-0005-0000-0000-00002B040000}"/>
    <cellStyle name="Comma 61" xfId="1111" xr:uid="{00000000-0005-0000-0000-00002C040000}"/>
    <cellStyle name="Comma 61 2" xfId="1112" xr:uid="{00000000-0005-0000-0000-00002D040000}"/>
    <cellStyle name="Comma 62" xfId="1113" xr:uid="{00000000-0005-0000-0000-00002E040000}"/>
    <cellStyle name="Comma 62 2" xfId="1114" xr:uid="{00000000-0005-0000-0000-00002F040000}"/>
    <cellStyle name="Comma 63" xfId="1115" xr:uid="{00000000-0005-0000-0000-000030040000}"/>
    <cellStyle name="Comma 63 2" xfId="1116" xr:uid="{00000000-0005-0000-0000-000031040000}"/>
    <cellStyle name="Comma 64" xfId="1117" xr:uid="{00000000-0005-0000-0000-000032040000}"/>
    <cellStyle name="Comma 64 2" xfId="1118" xr:uid="{00000000-0005-0000-0000-000033040000}"/>
    <cellStyle name="Comma 65" xfId="1119" xr:uid="{00000000-0005-0000-0000-000034040000}"/>
    <cellStyle name="Comma 65 2" xfId="1120" xr:uid="{00000000-0005-0000-0000-000035040000}"/>
    <cellStyle name="Comma 66" xfId="1121" xr:uid="{00000000-0005-0000-0000-000036040000}"/>
    <cellStyle name="Comma 66 2" xfId="1122" xr:uid="{00000000-0005-0000-0000-000037040000}"/>
    <cellStyle name="Comma 67" xfId="1123" xr:uid="{00000000-0005-0000-0000-000038040000}"/>
    <cellStyle name="Comma 67 2" xfId="1124" xr:uid="{00000000-0005-0000-0000-000039040000}"/>
    <cellStyle name="Comma 68" xfId="1125" xr:uid="{00000000-0005-0000-0000-00003A040000}"/>
    <cellStyle name="Comma 68 2" xfId="1126" xr:uid="{00000000-0005-0000-0000-00003B040000}"/>
    <cellStyle name="Comma 69" xfId="1127" xr:uid="{00000000-0005-0000-0000-00003C040000}"/>
    <cellStyle name="Comma 69 2" xfId="1128" xr:uid="{00000000-0005-0000-0000-00003D040000}"/>
    <cellStyle name="Comma 7" xfId="1129" xr:uid="{00000000-0005-0000-0000-00003E040000}"/>
    <cellStyle name="Comma 7 2" xfId="4290" xr:uid="{00000000-0005-0000-0000-00003F040000}"/>
    <cellStyle name="Comma 70" xfId="1130" xr:uid="{00000000-0005-0000-0000-000040040000}"/>
    <cellStyle name="Comma 70 2" xfId="1131" xr:uid="{00000000-0005-0000-0000-000041040000}"/>
    <cellStyle name="Comma 71" xfId="1132" xr:uid="{00000000-0005-0000-0000-000042040000}"/>
    <cellStyle name="Comma 71 2" xfId="1133" xr:uid="{00000000-0005-0000-0000-000043040000}"/>
    <cellStyle name="Comma 72" xfId="1134" xr:uid="{00000000-0005-0000-0000-000044040000}"/>
    <cellStyle name="Comma 72 2" xfId="1135" xr:uid="{00000000-0005-0000-0000-000045040000}"/>
    <cellStyle name="Comma 73" xfId="1136" xr:uid="{00000000-0005-0000-0000-000046040000}"/>
    <cellStyle name="Comma 73 2" xfId="1137" xr:uid="{00000000-0005-0000-0000-000047040000}"/>
    <cellStyle name="Comma 74" xfId="1138" xr:uid="{00000000-0005-0000-0000-000048040000}"/>
    <cellStyle name="Comma 74 2" xfId="1139" xr:uid="{00000000-0005-0000-0000-000049040000}"/>
    <cellStyle name="Comma 75" xfId="1140" xr:uid="{00000000-0005-0000-0000-00004A040000}"/>
    <cellStyle name="Comma 75 2" xfId="1141" xr:uid="{00000000-0005-0000-0000-00004B040000}"/>
    <cellStyle name="Comma 76" xfId="1142" xr:uid="{00000000-0005-0000-0000-00004C040000}"/>
    <cellStyle name="Comma 76 2" xfId="1143" xr:uid="{00000000-0005-0000-0000-00004D040000}"/>
    <cellStyle name="Comma 77" xfId="1144" xr:uid="{00000000-0005-0000-0000-00004E040000}"/>
    <cellStyle name="Comma 77 2" xfId="1145" xr:uid="{00000000-0005-0000-0000-00004F040000}"/>
    <cellStyle name="Comma 78" xfId="1146" xr:uid="{00000000-0005-0000-0000-000050040000}"/>
    <cellStyle name="Comma 78 2" xfId="1147" xr:uid="{00000000-0005-0000-0000-000051040000}"/>
    <cellStyle name="Comma 79" xfId="1148" xr:uid="{00000000-0005-0000-0000-000052040000}"/>
    <cellStyle name="Comma 79 2" xfId="1149" xr:uid="{00000000-0005-0000-0000-000053040000}"/>
    <cellStyle name="Comma 8" xfId="1150" xr:uid="{00000000-0005-0000-0000-000054040000}"/>
    <cellStyle name="Comma 8 2" xfId="4291" xr:uid="{00000000-0005-0000-0000-000055040000}"/>
    <cellStyle name="Comma 8 2 2" xfId="4500" xr:uid="{00000000-0005-0000-0000-000056040000}"/>
    <cellStyle name="Comma 8 2 3" xfId="4501" xr:uid="{00000000-0005-0000-0000-000057040000}"/>
    <cellStyle name="Comma 8 2 4" xfId="4502" xr:uid="{00000000-0005-0000-0000-000058040000}"/>
    <cellStyle name="Comma 8 2 5" xfId="4503" xr:uid="{00000000-0005-0000-0000-000059040000}"/>
    <cellStyle name="Comma 8 3" xfId="4504" xr:uid="{00000000-0005-0000-0000-00005A040000}"/>
    <cellStyle name="Comma 8 4" xfId="4505" xr:uid="{00000000-0005-0000-0000-00005B040000}"/>
    <cellStyle name="Comma 8 5" xfId="4506" xr:uid="{00000000-0005-0000-0000-00005C040000}"/>
    <cellStyle name="Comma 8 6" xfId="4507" xr:uid="{00000000-0005-0000-0000-00005D040000}"/>
    <cellStyle name="Comma 80" xfId="1151" xr:uid="{00000000-0005-0000-0000-00005E040000}"/>
    <cellStyle name="Comma 80 2" xfId="1152" xr:uid="{00000000-0005-0000-0000-00005F040000}"/>
    <cellStyle name="Comma 81" xfId="1153" xr:uid="{00000000-0005-0000-0000-000060040000}"/>
    <cellStyle name="Comma 81 2" xfId="1154" xr:uid="{00000000-0005-0000-0000-000061040000}"/>
    <cellStyle name="Comma 82" xfId="1155" xr:uid="{00000000-0005-0000-0000-000062040000}"/>
    <cellStyle name="Comma 82 2" xfId="1156" xr:uid="{00000000-0005-0000-0000-000063040000}"/>
    <cellStyle name="Comma 83" xfId="1157" xr:uid="{00000000-0005-0000-0000-000064040000}"/>
    <cellStyle name="Comma 83 2" xfId="1158" xr:uid="{00000000-0005-0000-0000-000065040000}"/>
    <cellStyle name="Comma 84" xfId="1159" xr:uid="{00000000-0005-0000-0000-000066040000}"/>
    <cellStyle name="Comma 84 2" xfId="1160" xr:uid="{00000000-0005-0000-0000-000067040000}"/>
    <cellStyle name="Comma 85" xfId="1161" xr:uid="{00000000-0005-0000-0000-000068040000}"/>
    <cellStyle name="Comma 85 2" xfId="1162" xr:uid="{00000000-0005-0000-0000-000069040000}"/>
    <cellStyle name="Comma 86" xfId="1163" xr:uid="{00000000-0005-0000-0000-00006A040000}"/>
    <cellStyle name="Comma 86 2" xfId="1164" xr:uid="{00000000-0005-0000-0000-00006B040000}"/>
    <cellStyle name="Comma 87" xfId="1165" xr:uid="{00000000-0005-0000-0000-00006C040000}"/>
    <cellStyle name="Comma 87 2" xfId="1166" xr:uid="{00000000-0005-0000-0000-00006D040000}"/>
    <cellStyle name="Comma 88" xfId="1167" xr:uid="{00000000-0005-0000-0000-00006E040000}"/>
    <cellStyle name="Comma 88 2" xfId="1168" xr:uid="{00000000-0005-0000-0000-00006F040000}"/>
    <cellStyle name="Comma 89" xfId="1169" xr:uid="{00000000-0005-0000-0000-000070040000}"/>
    <cellStyle name="Comma 89 2" xfId="1170" xr:uid="{00000000-0005-0000-0000-000071040000}"/>
    <cellStyle name="Comma 9" xfId="1171" xr:uid="{00000000-0005-0000-0000-000072040000}"/>
    <cellStyle name="Comma 9 2" xfId="4508" xr:uid="{00000000-0005-0000-0000-000073040000}"/>
    <cellStyle name="Comma 90" xfId="1172" xr:uid="{00000000-0005-0000-0000-000074040000}"/>
    <cellStyle name="Comma 91" xfId="1173" xr:uid="{00000000-0005-0000-0000-000075040000}"/>
    <cellStyle name="Comma 92" xfId="1174" xr:uid="{00000000-0005-0000-0000-000076040000}"/>
    <cellStyle name="Comma 93" xfId="1175" xr:uid="{00000000-0005-0000-0000-000077040000}"/>
    <cellStyle name="Comma 94" xfId="1176" xr:uid="{00000000-0005-0000-0000-000078040000}"/>
    <cellStyle name="Comma 95" xfId="4472" xr:uid="{00000000-0005-0000-0000-000079040000}"/>
    <cellStyle name="Comma Input" xfId="4509" xr:uid="{00000000-0005-0000-0000-00007A040000}"/>
    <cellStyle name="Comma(0)" xfId="4292" xr:uid="{00000000-0005-0000-0000-00007B040000}"/>
    <cellStyle name="Comma, No spaces" xfId="4293" xr:uid="{00000000-0005-0000-0000-00007C040000}"/>
    <cellStyle name="Comma0" xfId="4179" xr:uid="{00000000-0005-0000-0000-00007D040000}"/>
    <cellStyle name="Comma0 - Style1" xfId="85" xr:uid="{00000000-0005-0000-0000-00007E040000}"/>
    <cellStyle name="Comma0 - Style2" xfId="4294" xr:uid="{00000000-0005-0000-0000-00007F040000}"/>
    <cellStyle name="Comma0_currency data update to Oct" xfId="4295" xr:uid="{00000000-0005-0000-0000-000080040000}"/>
    <cellStyle name="Comma1" xfId="4296" xr:uid="{00000000-0005-0000-0000-000081040000}"/>
    <cellStyle name="Comma1 2" xfId="4297" xr:uid="{00000000-0005-0000-0000-000082040000}"/>
    <cellStyle name="Comma2" xfId="4298" xr:uid="{00000000-0005-0000-0000-000083040000}"/>
    <cellStyle name="Comma2 2" xfId="4299" xr:uid="{00000000-0005-0000-0000-000084040000}"/>
    <cellStyle name="Company Name" xfId="4180" xr:uid="{00000000-0005-0000-0000-000085040000}"/>
    <cellStyle name="Config Data" xfId="4181" xr:uid="{00000000-0005-0000-0000-000086040000}"/>
    <cellStyle name="ConvVer" xfId="4300" xr:uid="{00000000-0005-0000-0000-000087040000}"/>
    <cellStyle name="cost_per_kw" xfId="4301" xr:uid="{00000000-0005-0000-0000-000088040000}"/>
    <cellStyle name="Currency" xfId="1" builtinId="4"/>
    <cellStyle name="Currency [1]" xfId="4510" xr:uid="{00000000-0005-0000-0000-00008A040000}"/>
    <cellStyle name="Currency [2]" xfId="4302" xr:uid="{00000000-0005-0000-0000-00008B040000}"/>
    <cellStyle name="Currency [3]" xfId="4511" xr:uid="{00000000-0005-0000-0000-00008C040000}"/>
    <cellStyle name="Currency [4]" xfId="4303" xr:uid="{00000000-0005-0000-0000-00008D040000}"/>
    <cellStyle name="Currency 0.0" xfId="4182" xr:uid="{00000000-0005-0000-0000-00008E040000}"/>
    <cellStyle name="Currency 0.00" xfId="4183" xr:uid="{00000000-0005-0000-0000-00008F040000}"/>
    <cellStyle name="Currency 0.000" xfId="4184" xr:uid="{00000000-0005-0000-0000-000090040000}"/>
    <cellStyle name="Currency 0.0000" xfId="4185" xr:uid="{00000000-0005-0000-0000-000091040000}"/>
    <cellStyle name="Currency 10" xfId="1177" xr:uid="{00000000-0005-0000-0000-000092040000}"/>
    <cellStyle name="Currency 10 2" xfId="1178" xr:uid="{00000000-0005-0000-0000-000093040000}"/>
    <cellStyle name="Currency 10 2 2" xfId="1179" xr:uid="{00000000-0005-0000-0000-000094040000}"/>
    <cellStyle name="Currency 10 3" xfId="1180" xr:uid="{00000000-0005-0000-0000-000095040000}"/>
    <cellStyle name="Currency 10 3 2" xfId="1181" xr:uid="{00000000-0005-0000-0000-000096040000}"/>
    <cellStyle name="Currency 10 4" xfId="1182" xr:uid="{00000000-0005-0000-0000-000097040000}"/>
    <cellStyle name="Currency 10 4 2" xfId="1183" xr:uid="{00000000-0005-0000-0000-000098040000}"/>
    <cellStyle name="Currency 10 5" xfId="1184" xr:uid="{00000000-0005-0000-0000-000099040000}"/>
    <cellStyle name="Currency 10 5 2" xfId="1185" xr:uid="{00000000-0005-0000-0000-00009A040000}"/>
    <cellStyle name="Currency 10 6" xfId="1186" xr:uid="{00000000-0005-0000-0000-00009B040000}"/>
    <cellStyle name="Currency 11" xfId="1187" xr:uid="{00000000-0005-0000-0000-00009C040000}"/>
    <cellStyle name="Currency 11 2" xfId="1188" xr:uid="{00000000-0005-0000-0000-00009D040000}"/>
    <cellStyle name="Currency 11 2 2" xfId="1189" xr:uid="{00000000-0005-0000-0000-00009E040000}"/>
    <cellStyle name="Currency 11 3" xfId="1190" xr:uid="{00000000-0005-0000-0000-00009F040000}"/>
    <cellStyle name="Currency 11 3 2" xfId="1191" xr:uid="{00000000-0005-0000-0000-0000A0040000}"/>
    <cellStyle name="Currency 11 4" xfId="1192" xr:uid="{00000000-0005-0000-0000-0000A1040000}"/>
    <cellStyle name="Currency 11 4 2" xfId="1193" xr:uid="{00000000-0005-0000-0000-0000A2040000}"/>
    <cellStyle name="Currency 11 5" xfId="1194" xr:uid="{00000000-0005-0000-0000-0000A3040000}"/>
    <cellStyle name="Currency 11 5 2" xfId="1195" xr:uid="{00000000-0005-0000-0000-0000A4040000}"/>
    <cellStyle name="Currency 11 6" xfId="1196" xr:uid="{00000000-0005-0000-0000-0000A5040000}"/>
    <cellStyle name="Currency 12" xfId="1197" xr:uid="{00000000-0005-0000-0000-0000A6040000}"/>
    <cellStyle name="Currency 12 10" xfId="1198" xr:uid="{00000000-0005-0000-0000-0000A7040000}"/>
    <cellStyle name="Currency 12 10 2" xfId="1199" xr:uid="{00000000-0005-0000-0000-0000A8040000}"/>
    <cellStyle name="Currency 12 10 2 2" xfId="1200" xr:uid="{00000000-0005-0000-0000-0000A9040000}"/>
    <cellStyle name="Currency 12 10 3" xfId="1201" xr:uid="{00000000-0005-0000-0000-0000AA040000}"/>
    <cellStyle name="Currency 12 11" xfId="1202" xr:uid="{00000000-0005-0000-0000-0000AB040000}"/>
    <cellStyle name="Currency 12 11 2" xfId="1203" xr:uid="{00000000-0005-0000-0000-0000AC040000}"/>
    <cellStyle name="Currency 12 11 2 2" xfId="1204" xr:uid="{00000000-0005-0000-0000-0000AD040000}"/>
    <cellStyle name="Currency 12 11 3" xfId="1205" xr:uid="{00000000-0005-0000-0000-0000AE040000}"/>
    <cellStyle name="Currency 12 12" xfId="1206" xr:uid="{00000000-0005-0000-0000-0000AF040000}"/>
    <cellStyle name="Currency 12 12 2" xfId="1207" xr:uid="{00000000-0005-0000-0000-0000B0040000}"/>
    <cellStyle name="Currency 12 12 2 2" xfId="1208" xr:uid="{00000000-0005-0000-0000-0000B1040000}"/>
    <cellStyle name="Currency 12 12 3" xfId="1209" xr:uid="{00000000-0005-0000-0000-0000B2040000}"/>
    <cellStyle name="Currency 12 13" xfId="1210" xr:uid="{00000000-0005-0000-0000-0000B3040000}"/>
    <cellStyle name="Currency 12 13 2" xfId="1211" xr:uid="{00000000-0005-0000-0000-0000B4040000}"/>
    <cellStyle name="Currency 12 13 2 2" xfId="1212" xr:uid="{00000000-0005-0000-0000-0000B5040000}"/>
    <cellStyle name="Currency 12 13 3" xfId="1213" xr:uid="{00000000-0005-0000-0000-0000B6040000}"/>
    <cellStyle name="Currency 12 14" xfId="1214" xr:uid="{00000000-0005-0000-0000-0000B7040000}"/>
    <cellStyle name="Currency 12 14 2" xfId="1215" xr:uid="{00000000-0005-0000-0000-0000B8040000}"/>
    <cellStyle name="Currency 12 14 2 2" xfId="1216" xr:uid="{00000000-0005-0000-0000-0000B9040000}"/>
    <cellStyle name="Currency 12 14 3" xfId="1217" xr:uid="{00000000-0005-0000-0000-0000BA040000}"/>
    <cellStyle name="Currency 12 15" xfId="1218" xr:uid="{00000000-0005-0000-0000-0000BB040000}"/>
    <cellStyle name="Currency 12 15 2" xfId="1219" xr:uid="{00000000-0005-0000-0000-0000BC040000}"/>
    <cellStyle name="Currency 12 15 2 2" xfId="1220" xr:uid="{00000000-0005-0000-0000-0000BD040000}"/>
    <cellStyle name="Currency 12 15 3" xfId="1221" xr:uid="{00000000-0005-0000-0000-0000BE040000}"/>
    <cellStyle name="Currency 12 16" xfId="1222" xr:uid="{00000000-0005-0000-0000-0000BF040000}"/>
    <cellStyle name="Currency 12 16 2" xfId="1223" xr:uid="{00000000-0005-0000-0000-0000C0040000}"/>
    <cellStyle name="Currency 12 17" xfId="1224" xr:uid="{00000000-0005-0000-0000-0000C1040000}"/>
    <cellStyle name="Currency 12 17 2" xfId="1225" xr:uid="{00000000-0005-0000-0000-0000C2040000}"/>
    <cellStyle name="Currency 12 18" xfId="1226" xr:uid="{00000000-0005-0000-0000-0000C3040000}"/>
    <cellStyle name="Currency 12 2" xfId="1227" xr:uid="{00000000-0005-0000-0000-0000C4040000}"/>
    <cellStyle name="Currency 12 2 2" xfId="1228" xr:uid="{00000000-0005-0000-0000-0000C5040000}"/>
    <cellStyle name="Currency 12 2 2 2" xfId="1229" xr:uid="{00000000-0005-0000-0000-0000C6040000}"/>
    <cellStyle name="Currency 12 2 3" xfId="1230" xr:uid="{00000000-0005-0000-0000-0000C7040000}"/>
    <cellStyle name="Currency 12 3" xfId="1231" xr:uid="{00000000-0005-0000-0000-0000C8040000}"/>
    <cellStyle name="Currency 12 3 2" xfId="1232" xr:uid="{00000000-0005-0000-0000-0000C9040000}"/>
    <cellStyle name="Currency 12 3 2 2" xfId="1233" xr:uid="{00000000-0005-0000-0000-0000CA040000}"/>
    <cellStyle name="Currency 12 3 3" xfId="1234" xr:uid="{00000000-0005-0000-0000-0000CB040000}"/>
    <cellStyle name="Currency 12 4" xfId="1235" xr:uid="{00000000-0005-0000-0000-0000CC040000}"/>
    <cellStyle name="Currency 12 4 2" xfId="1236" xr:uid="{00000000-0005-0000-0000-0000CD040000}"/>
    <cellStyle name="Currency 12 4 2 2" xfId="1237" xr:uid="{00000000-0005-0000-0000-0000CE040000}"/>
    <cellStyle name="Currency 12 4 3" xfId="1238" xr:uid="{00000000-0005-0000-0000-0000CF040000}"/>
    <cellStyle name="Currency 12 5" xfId="1239" xr:uid="{00000000-0005-0000-0000-0000D0040000}"/>
    <cellStyle name="Currency 12 5 2" xfId="1240" xr:uid="{00000000-0005-0000-0000-0000D1040000}"/>
    <cellStyle name="Currency 12 5 2 2" xfId="1241" xr:uid="{00000000-0005-0000-0000-0000D2040000}"/>
    <cellStyle name="Currency 12 5 3" xfId="1242" xr:uid="{00000000-0005-0000-0000-0000D3040000}"/>
    <cellStyle name="Currency 12 6" xfId="1243" xr:uid="{00000000-0005-0000-0000-0000D4040000}"/>
    <cellStyle name="Currency 12 6 2" xfId="1244" xr:uid="{00000000-0005-0000-0000-0000D5040000}"/>
    <cellStyle name="Currency 12 6 2 2" xfId="1245" xr:uid="{00000000-0005-0000-0000-0000D6040000}"/>
    <cellStyle name="Currency 12 6 3" xfId="1246" xr:uid="{00000000-0005-0000-0000-0000D7040000}"/>
    <cellStyle name="Currency 12 7" xfId="1247" xr:uid="{00000000-0005-0000-0000-0000D8040000}"/>
    <cellStyle name="Currency 12 7 2" xfId="1248" xr:uid="{00000000-0005-0000-0000-0000D9040000}"/>
    <cellStyle name="Currency 12 7 2 2" xfId="1249" xr:uid="{00000000-0005-0000-0000-0000DA040000}"/>
    <cellStyle name="Currency 12 7 3" xfId="1250" xr:uid="{00000000-0005-0000-0000-0000DB040000}"/>
    <cellStyle name="Currency 12 8" xfId="1251" xr:uid="{00000000-0005-0000-0000-0000DC040000}"/>
    <cellStyle name="Currency 12 8 2" xfId="1252" xr:uid="{00000000-0005-0000-0000-0000DD040000}"/>
    <cellStyle name="Currency 12 8 2 2" xfId="1253" xr:uid="{00000000-0005-0000-0000-0000DE040000}"/>
    <cellStyle name="Currency 12 8 3" xfId="1254" xr:uid="{00000000-0005-0000-0000-0000DF040000}"/>
    <cellStyle name="Currency 12 9" xfId="1255" xr:uid="{00000000-0005-0000-0000-0000E0040000}"/>
    <cellStyle name="Currency 12 9 2" xfId="1256" xr:uid="{00000000-0005-0000-0000-0000E1040000}"/>
    <cellStyle name="Currency 12 9 2 2" xfId="1257" xr:uid="{00000000-0005-0000-0000-0000E2040000}"/>
    <cellStyle name="Currency 12 9 3" xfId="1258" xr:uid="{00000000-0005-0000-0000-0000E3040000}"/>
    <cellStyle name="Currency 13" xfId="4672" xr:uid="{00000000-0005-0000-0000-0000E4040000}"/>
    <cellStyle name="Currency 15" xfId="1259" xr:uid="{00000000-0005-0000-0000-0000E5040000}"/>
    <cellStyle name="Currency 15 10" xfId="1260" xr:uid="{00000000-0005-0000-0000-0000E6040000}"/>
    <cellStyle name="Currency 15 10 2" xfId="1261" xr:uid="{00000000-0005-0000-0000-0000E7040000}"/>
    <cellStyle name="Currency 15 10 2 2" xfId="1262" xr:uid="{00000000-0005-0000-0000-0000E8040000}"/>
    <cellStyle name="Currency 15 10 3" xfId="1263" xr:uid="{00000000-0005-0000-0000-0000E9040000}"/>
    <cellStyle name="Currency 15 11" xfId="1264" xr:uid="{00000000-0005-0000-0000-0000EA040000}"/>
    <cellStyle name="Currency 15 11 2" xfId="1265" xr:uid="{00000000-0005-0000-0000-0000EB040000}"/>
    <cellStyle name="Currency 15 11 2 2" xfId="1266" xr:uid="{00000000-0005-0000-0000-0000EC040000}"/>
    <cellStyle name="Currency 15 11 3" xfId="1267" xr:uid="{00000000-0005-0000-0000-0000ED040000}"/>
    <cellStyle name="Currency 15 12" xfId="1268" xr:uid="{00000000-0005-0000-0000-0000EE040000}"/>
    <cellStyle name="Currency 15 12 2" xfId="1269" xr:uid="{00000000-0005-0000-0000-0000EF040000}"/>
    <cellStyle name="Currency 15 12 2 2" xfId="1270" xr:uid="{00000000-0005-0000-0000-0000F0040000}"/>
    <cellStyle name="Currency 15 12 3" xfId="1271" xr:uid="{00000000-0005-0000-0000-0000F1040000}"/>
    <cellStyle name="Currency 15 13" xfId="1272" xr:uid="{00000000-0005-0000-0000-0000F2040000}"/>
    <cellStyle name="Currency 15 13 2" xfId="1273" xr:uid="{00000000-0005-0000-0000-0000F3040000}"/>
    <cellStyle name="Currency 15 13 2 2" xfId="1274" xr:uid="{00000000-0005-0000-0000-0000F4040000}"/>
    <cellStyle name="Currency 15 13 3" xfId="1275" xr:uid="{00000000-0005-0000-0000-0000F5040000}"/>
    <cellStyle name="Currency 15 14" xfId="1276" xr:uid="{00000000-0005-0000-0000-0000F6040000}"/>
    <cellStyle name="Currency 15 14 2" xfId="1277" xr:uid="{00000000-0005-0000-0000-0000F7040000}"/>
    <cellStyle name="Currency 15 14 2 2" xfId="1278" xr:uid="{00000000-0005-0000-0000-0000F8040000}"/>
    <cellStyle name="Currency 15 14 3" xfId="1279" xr:uid="{00000000-0005-0000-0000-0000F9040000}"/>
    <cellStyle name="Currency 15 15" xfId="1280" xr:uid="{00000000-0005-0000-0000-0000FA040000}"/>
    <cellStyle name="Currency 15 15 2" xfId="1281" xr:uid="{00000000-0005-0000-0000-0000FB040000}"/>
    <cellStyle name="Currency 15 15 2 2" xfId="1282" xr:uid="{00000000-0005-0000-0000-0000FC040000}"/>
    <cellStyle name="Currency 15 15 3" xfId="1283" xr:uid="{00000000-0005-0000-0000-0000FD040000}"/>
    <cellStyle name="Currency 15 16" xfId="1284" xr:uid="{00000000-0005-0000-0000-0000FE040000}"/>
    <cellStyle name="Currency 15 16 2" xfId="1285" xr:uid="{00000000-0005-0000-0000-0000FF040000}"/>
    <cellStyle name="Currency 15 17" xfId="1286" xr:uid="{00000000-0005-0000-0000-000000050000}"/>
    <cellStyle name="Currency 15 17 2" xfId="1287" xr:uid="{00000000-0005-0000-0000-000001050000}"/>
    <cellStyle name="Currency 15 18" xfId="1288" xr:uid="{00000000-0005-0000-0000-000002050000}"/>
    <cellStyle name="Currency 15 2" xfId="1289" xr:uid="{00000000-0005-0000-0000-000003050000}"/>
    <cellStyle name="Currency 15 2 2" xfId="1290" xr:uid="{00000000-0005-0000-0000-000004050000}"/>
    <cellStyle name="Currency 15 2 2 2" xfId="1291" xr:uid="{00000000-0005-0000-0000-000005050000}"/>
    <cellStyle name="Currency 15 2 3" xfId="1292" xr:uid="{00000000-0005-0000-0000-000006050000}"/>
    <cellStyle name="Currency 15 3" xfId="1293" xr:uid="{00000000-0005-0000-0000-000007050000}"/>
    <cellStyle name="Currency 15 3 2" xfId="1294" xr:uid="{00000000-0005-0000-0000-000008050000}"/>
    <cellStyle name="Currency 15 3 2 2" xfId="1295" xr:uid="{00000000-0005-0000-0000-000009050000}"/>
    <cellStyle name="Currency 15 3 3" xfId="1296" xr:uid="{00000000-0005-0000-0000-00000A050000}"/>
    <cellStyle name="Currency 15 4" xfId="1297" xr:uid="{00000000-0005-0000-0000-00000B050000}"/>
    <cellStyle name="Currency 15 4 2" xfId="1298" xr:uid="{00000000-0005-0000-0000-00000C050000}"/>
    <cellStyle name="Currency 15 4 2 2" xfId="1299" xr:uid="{00000000-0005-0000-0000-00000D050000}"/>
    <cellStyle name="Currency 15 4 3" xfId="1300" xr:uid="{00000000-0005-0000-0000-00000E050000}"/>
    <cellStyle name="Currency 15 5" xfId="1301" xr:uid="{00000000-0005-0000-0000-00000F050000}"/>
    <cellStyle name="Currency 15 5 2" xfId="1302" xr:uid="{00000000-0005-0000-0000-000010050000}"/>
    <cellStyle name="Currency 15 5 2 2" xfId="1303" xr:uid="{00000000-0005-0000-0000-000011050000}"/>
    <cellStyle name="Currency 15 5 3" xfId="1304" xr:uid="{00000000-0005-0000-0000-000012050000}"/>
    <cellStyle name="Currency 15 6" xfId="1305" xr:uid="{00000000-0005-0000-0000-000013050000}"/>
    <cellStyle name="Currency 15 6 2" xfId="1306" xr:uid="{00000000-0005-0000-0000-000014050000}"/>
    <cellStyle name="Currency 15 6 2 2" xfId="1307" xr:uid="{00000000-0005-0000-0000-000015050000}"/>
    <cellStyle name="Currency 15 6 3" xfId="1308" xr:uid="{00000000-0005-0000-0000-000016050000}"/>
    <cellStyle name="Currency 15 7" xfId="1309" xr:uid="{00000000-0005-0000-0000-000017050000}"/>
    <cellStyle name="Currency 15 7 2" xfId="1310" xr:uid="{00000000-0005-0000-0000-000018050000}"/>
    <cellStyle name="Currency 15 7 2 2" xfId="1311" xr:uid="{00000000-0005-0000-0000-000019050000}"/>
    <cellStyle name="Currency 15 7 3" xfId="1312" xr:uid="{00000000-0005-0000-0000-00001A050000}"/>
    <cellStyle name="Currency 15 8" xfId="1313" xr:uid="{00000000-0005-0000-0000-00001B050000}"/>
    <cellStyle name="Currency 15 8 2" xfId="1314" xr:uid="{00000000-0005-0000-0000-00001C050000}"/>
    <cellStyle name="Currency 15 8 2 2" xfId="1315" xr:uid="{00000000-0005-0000-0000-00001D050000}"/>
    <cellStyle name="Currency 15 8 3" xfId="1316" xr:uid="{00000000-0005-0000-0000-00001E050000}"/>
    <cellStyle name="Currency 15 9" xfId="1317" xr:uid="{00000000-0005-0000-0000-00001F050000}"/>
    <cellStyle name="Currency 15 9 2" xfId="1318" xr:uid="{00000000-0005-0000-0000-000020050000}"/>
    <cellStyle name="Currency 15 9 2 2" xfId="1319" xr:uid="{00000000-0005-0000-0000-000021050000}"/>
    <cellStyle name="Currency 15 9 3" xfId="1320" xr:uid="{00000000-0005-0000-0000-000022050000}"/>
    <cellStyle name="Currency 2" xfId="86" xr:uid="{00000000-0005-0000-0000-000023050000}"/>
    <cellStyle name="Currency 2 2" xfId="1321" xr:uid="{00000000-0005-0000-0000-000024050000}"/>
    <cellStyle name="Currency 2 2 2" xfId="1322" xr:uid="{00000000-0005-0000-0000-000025050000}"/>
    <cellStyle name="Currency 2 2 2 2" xfId="1323" xr:uid="{00000000-0005-0000-0000-000026050000}"/>
    <cellStyle name="Currency 2 2 3" xfId="1324" xr:uid="{00000000-0005-0000-0000-000027050000}"/>
    <cellStyle name="Currency 2 3" xfId="1325" xr:uid="{00000000-0005-0000-0000-000028050000}"/>
    <cellStyle name="Currency 2 3 2" xfId="1326" xr:uid="{00000000-0005-0000-0000-000029050000}"/>
    <cellStyle name="Currency 2 3 2 2" xfId="1327" xr:uid="{00000000-0005-0000-0000-00002A050000}"/>
    <cellStyle name="Currency 2 3 3" xfId="1328" xr:uid="{00000000-0005-0000-0000-00002B050000}"/>
    <cellStyle name="Currency 2 3 3 2" xfId="1329" xr:uid="{00000000-0005-0000-0000-00002C050000}"/>
    <cellStyle name="Currency 2 3 4" xfId="1330" xr:uid="{00000000-0005-0000-0000-00002D050000}"/>
    <cellStyle name="Currency 2 4" xfId="1331" xr:uid="{00000000-0005-0000-0000-00002E050000}"/>
    <cellStyle name="Currency 3" xfId="1332" xr:uid="{00000000-0005-0000-0000-00002F050000}"/>
    <cellStyle name="Currency 3 2" xfId="1333" xr:uid="{00000000-0005-0000-0000-000030050000}"/>
    <cellStyle name="Currency 3 3" xfId="1334" xr:uid="{00000000-0005-0000-0000-000031050000}"/>
    <cellStyle name="Currency 34" xfId="1335" xr:uid="{00000000-0005-0000-0000-000032050000}"/>
    <cellStyle name="Currency 34 10" xfId="1336" xr:uid="{00000000-0005-0000-0000-000033050000}"/>
    <cellStyle name="Currency 34 10 2" xfId="1337" xr:uid="{00000000-0005-0000-0000-000034050000}"/>
    <cellStyle name="Currency 34 10 2 2" xfId="1338" xr:uid="{00000000-0005-0000-0000-000035050000}"/>
    <cellStyle name="Currency 34 10 3" xfId="1339" xr:uid="{00000000-0005-0000-0000-000036050000}"/>
    <cellStyle name="Currency 34 11" xfId="1340" xr:uid="{00000000-0005-0000-0000-000037050000}"/>
    <cellStyle name="Currency 34 11 2" xfId="1341" xr:uid="{00000000-0005-0000-0000-000038050000}"/>
    <cellStyle name="Currency 34 11 2 2" xfId="1342" xr:uid="{00000000-0005-0000-0000-000039050000}"/>
    <cellStyle name="Currency 34 11 3" xfId="1343" xr:uid="{00000000-0005-0000-0000-00003A050000}"/>
    <cellStyle name="Currency 34 12" xfId="1344" xr:uid="{00000000-0005-0000-0000-00003B050000}"/>
    <cellStyle name="Currency 34 12 2" xfId="1345" xr:uid="{00000000-0005-0000-0000-00003C050000}"/>
    <cellStyle name="Currency 34 12 2 2" xfId="1346" xr:uid="{00000000-0005-0000-0000-00003D050000}"/>
    <cellStyle name="Currency 34 12 3" xfId="1347" xr:uid="{00000000-0005-0000-0000-00003E050000}"/>
    <cellStyle name="Currency 34 13" xfId="1348" xr:uid="{00000000-0005-0000-0000-00003F050000}"/>
    <cellStyle name="Currency 34 13 2" xfId="1349" xr:uid="{00000000-0005-0000-0000-000040050000}"/>
    <cellStyle name="Currency 34 13 2 2" xfId="1350" xr:uid="{00000000-0005-0000-0000-000041050000}"/>
    <cellStyle name="Currency 34 13 3" xfId="1351" xr:uid="{00000000-0005-0000-0000-000042050000}"/>
    <cellStyle name="Currency 34 14" xfId="1352" xr:uid="{00000000-0005-0000-0000-000043050000}"/>
    <cellStyle name="Currency 34 14 2" xfId="1353" xr:uid="{00000000-0005-0000-0000-000044050000}"/>
    <cellStyle name="Currency 34 14 2 2" xfId="1354" xr:uid="{00000000-0005-0000-0000-000045050000}"/>
    <cellStyle name="Currency 34 14 3" xfId="1355" xr:uid="{00000000-0005-0000-0000-000046050000}"/>
    <cellStyle name="Currency 34 15" xfId="1356" xr:uid="{00000000-0005-0000-0000-000047050000}"/>
    <cellStyle name="Currency 34 15 2" xfId="1357" xr:uid="{00000000-0005-0000-0000-000048050000}"/>
    <cellStyle name="Currency 34 15 2 2" xfId="1358" xr:uid="{00000000-0005-0000-0000-000049050000}"/>
    <cellStyle name="Currency 34 15 3" xfId="1359" xr:uid="{00000000-0005-0000-0000-00004A050000}"/>
    <cellStyle name="Currency 34 16" xfId="1360" xr:uid="{00000000-0005-0000-0000-00004B050000}"/>
    <cellStyle name="Currency 34 16 2" xfId="1361" xr:uid="{00000000-0005-0000-0000-00004C050000}"/>
    <cellStyle name="Currency 34 17" xfId="1362" xr:uid="{00000000-0005-0000-0000-00004D050000}"/>
    <cellStyle name="Currency 34 17 2" xfId="1363" xr:uid="{00000000-0005-0000-0000-00004E050000}"/>
    <cellStyle name="Currency 34 18" xfId="1364" xr:uid="{00000000-0005-0000-0000-00004F050000}"/>
    <cellStyle name="Currency 34 2" xfId="1365" xr:uid="{00000000-0005-0000-0000-000050050000}"/>
    <cellStyle name="Currency 34 2 2" xfId="1366" xr:uid="{00000000-0005-0000-0000-000051050000}"/>
    <cellStyle name="Currency 34 2 2 2" xfId="1367" xr:uid="{00000000-0005-0000-0000-000052050000}"/>
    <cellStyle name="Currency 34 2 3" xfId="1368" xr:uid="{00000000-0005-0000-0000-000053050000}"/>
    <cellStyle name="Currency 34 3" xfId="1369" xr:uid="{00000000-0005-0000-0000-000054050000}"/>
    <cellStyle name="Currency 34 3 2" xfId="1370" xr:uid="{00000000-0005-0000-0000-000055050000}"/>
    <cellStyle name="Currency 34 3 2 2" xfId="1371" xr:uid="{00000000-0005-0000-0000-000056050000}"/>
    <cellStyle name="Currency 34 3 3" xfId="1372" xr:uid="{00000000-0005-0000-0000-000057050000}"/>
    <cellStyle name="Currency 34 4" xfId="1373" xr:uid="{00000000-0005-0000-0000-000058050000}"/>
    <cellStyle name="Currency 34 4 2" xfId="1374" xr:uid="{00000000-0005-0000-0000-000059050000}"/>
    <cellStyle name="Currency 34 4 2 2" xfId="1375" xr:uid="{00000000-0005-0000-0000-00005A050000}"/>
    <cellStyle name="Currency 34 4 3" xfId="1376" xr:uid="{00000000-0005-0000-0000-00005B050000}"/>
    <cellStyle name="Currency 34 5" xfId="1377" xr:uid="{00000000-0005-0000-0000-00005C050000}"/>
    <cellStyle name="Currency 34 5 2" xfId="1378" xr:uid="{00000000-0005-0000-0000-00005D050000}"/>
    <cellStyle name="Currency 34 5 2 2" xfId="1379" xr:uid="{00000000-0005-0000-0000-00005E050000}"/>
    <cellStyle name="Currency 34 5 3" xfId="1380" xr:uid="{00000000-0005-0000-0000-00005F050000}"/>
    <cellStyle name="Currency 34 6" xfId="1381" xr:uid="{00000000-0005-0000-0000-000060050000}"/>
    <cellStyle name="Currency 34 6 2" xfId="1382" xr:uid="{00000000-0005-0000-0000-000061050000}"/>
    <cellStyle name="Currency 34 6 2 2" xfId="1383" xr:uid="{00000000-0005-0000-0000-000062050000}"/>
    <cellStyle name="Currency 34 6 3" xfId="1384" xr:uid="{00000000-0005-0000-0000-000063050000}"/>
    <cellStyle name="Currency 34 7" xfId="1385" xr:uid="{00000000-0005-0000-0000-000064050000}"/>
    <cellStyle name="Currency 34 7 2" xfId="1386" xr:uid="{00000000-0005-0000-0000-000065050000}"/>
    <cellStyle name="Currency 34 7 2 2" xfId="1387" xr:uid="{00000000-0005-0000-0000-000066050000}"/>
    <cellStyle name="Currency 34 7 3" xfId="1388" xr:uid="{00000000-0005-0000-0000-000067050000}"/>
    <cellStyle name="Currency 34 8" xfId="1389" xr:uid="{00000000-0005-0000-0000-000068050000}"/>
    <cellStyle name="Currency 34 8 2" xfId="1390" xr:uid="{00000000-0005-0000-0000-000069050000}"/>
    <cellStyle name="Currency 34 8 2 2" xfId="1391" xr:uid="{00000000-0005-0000-0000-00006A050000}"/>
    <cellStyle name="Currency 34 8 3" xfId="1392" xr:uid="{00000000-0005-0000-0000-00006B050000}"/>
    <cellStyle name="Currency 34 9" xfId="1393" xr:uid="{00000000-0005-0000-0000-00006C050000}"/>
    <cellStyle name="Currency 34 9 2" xfId="1394" xr:uid="{00000000-0005-0000-0000-00006D050000}"/>
    <cellStyle name="Currency 34 9 2 2" xfId="1395" xr:uid="{00000000-0005-0000-0000-00006E050000}"/>
    <cellStyle name="Currency 34 9 3" xfId="1396" xr:uid="{00000000-0005-0000-0000-00006F050000}"/>
    <cellStyle name="Currency 4" xfId="1397" xr:uid="{00000000-0005-0000-0000-000070050000}"/>
    <cellStyle name="Currency 4 2" xfId="1398" xr:uid="{00000000-0005-0000-0000-000071050000}"/>
    <cellStyle name="Currency 49" xfId="1399" xr:uid="{00000000-0005-0000-0000-000072050000}"/>
    <cellStyle name="Currency 49 10" xfId="1400" xr:uid="{00000000-0005-0000-0000-000073050000}"/>
    <cellStyle name="Currency 49 10 2" xfId="1401" xr:uid="{00000000-0005-0000-0000-000074050000}"/>
    <cellStyle name="Currency 49 10 2 2" xfId="1402" xr:uid="{00000000-0005-0000-0000-000075050000}"/>
    <cellStyle name="Currency 49 10 3" xfId="1403" xr:uid="{00000000-0005-0000-0000-000076050000}"/>
    <cellStyle name="Currency 49 11" xfId="1404" xr:uid="{00000000-0005-0000-0000-000077050000}"/>
    <cellStyle name="Currency 49 11 2" xfId="1405" xr:uid="{00000000-0005-0000-0000-000078050000}"/>
    <cellStyle name="Currency 49 11 2 2" xfId="1406" xr:uid="{00000000-0005-0000-0000-000079050000}"/>
    <cellStyle name="Currency 49 11 3" xfId="1407" xr:uid="{00000000-0005-0000-0000-00007A050000}"/>
    <cellStyle name="Currency 49 12" xfId="1408" xr:uid="{00000000-0005-0000-0000-00007B050000}"/>
    <cellStyle name="Currency 49 12 2" xfId="1409" xr:uid="{00000000-0005-0000-0000-00007C050000}"/>
    <cellStyle name="Currency 49 12 2 2" xfId="1410" xr:uid="{00000000-0005-0000-0000-00007D050000}"/>
    <cellStyle name="Currency 49 12 3" xfId="1411" xr:uid="{00000000-0005-0000-0000-00007E050000}"/>
    <cellStyle name="Currency 49 13" xfId="1412" xr:uid="{00000000-0005-0000-0000-00007F050000}"/>
    <cellStyle name="Currency 49 13 2" xfId="1413" xr:uid="{00000000-0005-0000-0000-000080050000}"/>
    <cellStyle name="Currency 49 13 2 2" xfId="1414" xr:uid="{00000000-0005-0000-0000-000081050000}"/>
    <cellStyle name="Currency 49 13 3" xfId="1415" xr:uid="{00000000-0005-0000-0000-000082050000}"/>
    <cellStyle name="Currency 49 14" xfId="1416" xr:uid="{00000000-0005-0000-0000-000083050000}"/>
    <cellStyle name="Currency 49 14 2" xfId="1417" xr:uid="{00000000-0005-0000-0000-000084050000}"/>
    <cellStyle name="Currency 49 14 2 2" xfId="1418" xr:uid="{00000000-0005-0000-0000-000085050000}"/>
    <cellStyle name="Currency 49 14 3" xfId="1419" xr:uid="{00000000-0005-0000-0000-000086050000}"/>
    <cellStyle name="Currency 49 15" xfId="1420" xr:uid="{00000000-0005-0000-0000-000087050000}"/>
    <cellStyle name="Currency 49 15 2" xfId="1421" xr:uid="{00000000-0005-0000-0000-000088050000}"/>
    <cellStyle name="Currency 49 15 2 2" xfId="1422" xr:uid="{00000000-0005-0000-0000-000089050000}"/>
    <cellStyle name="Currency 49 15 3" xfId="1423" xr:uid="{00000000-0005-0000-0000-00008A050000}"/>
    <cellStyle name="Currency 49 16" xfId="1424" xr:uid="{00000000-0005-0000-0000-00008B050000}"/>
    <cellStyle name="Currency 49 16 2" xfId="1425" xr:uid="{00000000-0005-0000-0000-00008C050000}"/>
    <cellStyle name="Currency 49 17" xfId="1426" xr:uid="{00000000-0005-0000-0000-00008D050000}"/>
    <cellStyle name="Currency 49 17 2" xfId="1427" xr:uid="{00000000-0005-0000-0000-00008E050000}"/>
    <cellStyle name="Currency 49 18" xfId="1428" xr:uid="{00000000-0005-0000-0000-00008F050000}"/>
    <cellStyle name="Currency 49 2" xfId="1429" xr:uid="{00000000-0005-0000-0000-000090050000}"/>
    <cellStyle name="Currency 49 2 2" xfId="1430" xr:uid="{00000000-0005-0000-0000-000091050000}"/>
    <cellStyle name="Currency 49 2 2 2" xfId="1431" xr:uid="{00000000-0005-0000-0000-000092050000}"/>
    <cellStyle name="Currency 49 2 3" xfId="1432" xr:uid="{00000000-0005-0000-0000-000093050000}"/>
    <cellStyle name="Currency 49 3" xfId="1433" xr:uid="{00000000-0005-0000-0000-000094050000}"/>
    <cellStyle name="Currency 49 3 2" xfId="1434" xr:uid="{00000000-0005-0000-0000-000095050000}"/>
    <cellStyle name="Currency 49 3 2 2" xfId="1435" xr:uid="{00000000-0005-0000-0000-000096050000}"/>
    <cellStyle name="Currency 49 3 3" xfId="1436" xr:uid="{00000000-0005-0000-0000-000097050000}"/>
    <cellStyle name="Currency 49 4" xfId="1437" xr:uid="{00000000-0005-0000-0000-000098050000}"/>
    <cellStyle name="Currency 49 4 2" xfId="1438" xr:uid="{00000000-0005-0000-0000-000099050000}"/>
    <cellStyle name="Currency 49 4 2 2" xfId="1439" xr:uid="{00000000-0005-0000-0000-00009A050000}"/>
    <cellStyle name="Currency 49 4 3" xfId="1440" xr:uid="{00000000-0005-0000-0000-00009B050000}"/>
    <cellStyle name="Currency 49 5" xfId="1441" xr:uid="{00000000-0005-0000-0000-00009C050000}"/>
    <cellStyle name="Currency 49 5 2" xfId="1442" xr:uid="{00000000-0005-0000-0000-00009D050000}"/>
    <cellStyle name="Currency 49 5 2 2" xfId="1443" xr:uid="{00000000-0005-0000-0000-00009E050000}"/>
    <cellStyle name="Currency 49 5 3" xfId="1444" xr:uid="{00000000-0005-0000-0000-00009F050000}"/>
    <cellStyle name="Currency 49 6" xfId="1445" xr:uid="{00000000-0005-0000-0000-0000A0050000}"/>
    <cellStyle name="Currency 49 6 2" xfId="1446" xr:uid="{00000000-0005-0000-0000-0000A1050000}"/>
    <cellStyle name="Currency 49 6 2 2" xfId="1447" xr:uid="{00000000-0005-0000-0000-0000A2050000}"/>
    <cellStyle name="Currency 49 6 3" xfId="1448" xr:uid="{00000000-0005-0000-0000-0000A3050000}"/>
    <cellStyle name="Currency 49 7" xfId="1449" xr:uid="{00000000-0005-0000-0000-0000A4050000}"/>
    <cellStyle name="Currency 49 7 2" xfId="1450" xr:uid="{00000000-0005-0000-0000-0000A5050000}"/>
    <cellStyle name="Currency 49 7 2 2" xfId="1451" xr:uid="{00000000-0005-0000-0000-0000A6050000}"/>
    <cellStyle name="Currency 49 7 3" xfId="1452" xr:uid="{00000000-0005-0000-0000-0000A7050000}"/>
    <cellStyle name="Currency 49 8" xfId="1453" xr:uid="{00000000-0005-0000-0000-0000A8050000}"/>
    <cellStyle name="Currency 49 8 2" xfId="1454" xr:uid="{00000000-0005-0000-0000-0000A9050000}"/>
    <cellStyle name="Currency 49 8 2 2" xfId="1455" xr:uid="{00000000-0005-0000-0000-0000AA050000}"/>
    <cellStyle name="Currency 49 8 3" xfId="1456" xr:uid="{00000000-0005-0000-0000-0000AB050000}"/>
    <cellStyle name="Currency 49 9" xfId="1457" xr:uid="{00000000-0005-0000-0000-0000AC050000}"/>
    <cellStyle name="Currency 49 9 2" xfId="1458" xr:uid="{00000000-0005-0000-0000-0000AD050000}"/>
    <cellStyle name="Currency 49 9 2 2" xfId="1459" xr:uid="{00000000-0005-0000-0000-0000AE050000}"/>
    <cellStyle name="Currency 49 9 3" xfId="1460" xr:uid="{00000000-0005-0000-0000-0000AF050000}"/>
    <cellStyle name="Currency 5" xfId="1461" xr:uid="{00000000-0005-0000-0000-0000B0050000}"/>
    <cellStyle name="Currency 5 2" xfId="1462" xr:uid="{00000000-0005-0000-0000-0000B1050000}"/>
    <cellStyle name="Currency 5 3" xfId="1463" xr:uid="{00000000-0005-0000-0000-0000B2050000}"/>
    <cellStyle name="Currency 59 10" xfId="1464" xr:uid="{00000000-0005-0000-0000-0000B3050000}"/>
    <cellStyle name="Currency 59 10 2" xfId="1465" xr:uid="{00000000-0005-0000-0000-0000B4050000}"/>
    <cellStyle name="Currency 59 10 2 2" xfId="1466" xr:uid="{00000000-0005-0000-0000-0000B5050000}"/>
    <cellStyle name="Currency 59 10 3" xfId="1467" xr:uid="{00000000-0005-0000-0000-0000B6050000}"/>
    <cellStyle name="Currency 59 11" xfId="1468" xr:uid="{00000000-0005-0000-0000-0000B7050000}"/>
    <cellStyle name="Currency 59 11 2" xfId="1469" xr:uid="{00000000-0005-0000-0000-0000B8050000}"/>
    <cellStyle name="Currency 59 11 2 2" xfId="1470" xr:uid="{00000000-0005-0000-0000-0000B9050000}"/>
    <cellStyle name="Currency 59 11 3" xfId="1471" xr:uid="{00000000-0005-0000-0000-0000BA050000}"/>
    <cellStyle name="Currency 59 12" xfId="1472" xr:uid="{00000000-0005-0000-0000-0000BB050000}"/>
    <cellStyle name="Currency 59 12 2" xfId="1473" xr:uid="{00000000-0005-0000-0000-0000BC050000}"/>
    <cellStyle name="Currency 59 12 2 2" xfId="1474" xr:uid="{00000000-0005-0000-0000-0000BD050000}"/>
    <cellStyle name="Currency 59 12 3" xfId="1475" xr:uid="{00000000-0005-0000-0000-0000BE050000}"/>
    <cellStyle name="Currency 59 13" xfId="1476" xr:uid="{00000000-0005-0000-0000-0000BF050000}"/>
    <cellStyle name="Currency 59 13 2" xfId="1477" xr:uid="{00000000-0005-0000-0000-0000C0050000}"/>
    <cellStyle name="Currency 59 13 2 2" xfId="1478" xr:uid="{00000000-0005-0000-0000-0000C1050000}"/>
    <cellStyle name="Currency 59 13 3" xfId="1479" xr:uid="{00000000-0005-0000-0000-0000C2050000}"/>
    <cellStyle name="Currency 59 14" xfId="1480" xr:uid="{00000000-0005-0000-0000-0000C3050000}"/>
    <cellStyle name="Currency 59 14 10" xfId="1481" xr:uid="{00000000-0005-0000-0000-0000C4050000}"/>
    <cellStyle name="Currency 59 14 10 2" xfId="1482" xr:uid="{00000000-0005-0000-0000-0000C5050000}"/>
    <cellStyle name="Currency 59 14 11" xfId="1483" xr:uid="{00000000-0005-0000-0000-0000C6050000}"/>
    <cellStyle name="Currency 59 14 11 2" xfId="1484" xr:uid="{00000000-0005-0000-0000-0000C7050000}"/>
    <cellStyle name="Currency 59 14 12" xfId="1485" xr:uid="{00000000-0005-0000-0000-0000C8050000}"/>
    <cellStyle name="Currency 59 14 12 2" xfId="1486" xr:uid="{00000000-0005-0000-0000-0000C9050000}"/>
    <cellStyle name="Currency 59 14 13" xfId="1487" xr:uid="{00000000-0005-0000-0000-0000CA050000}"/>
    <cellStyle name="Currency 59 14 13 2" xfId="1488" xr:uid="{00000000-0005-0000-0000-0000CB050000}"/>
    <cellStyle name="Currency 59 14 14" xfId="1489" xr:uid="{00000000-0005-0000-0000-0000CC050000}"/>
    <cellStyle name="Currency 59 14 14 2" xfId="1490" xr:uid="{00000000-0005-0000-0000-0000CD050000}"/>
    <cellStyle name="Currency 59 14 15" xfId="1491" xr:uid="{00000000-0005-0000-0000-0000CE050000}"/>
    <cellStyle name="Currency 59 14 15 2" xfId="1492" xr:uid="{00000000-0005-0000-0000-0000CF050000}"/>
    <cellStyle name="Currency 59 14 16" xfId="1493" xr:uid="{00000000-0005-0000-0000-0000D0050000}"/>
    <cellStyle name="Currency 59 14 16 2" xfId="1494" xr:uid="{00000000-0005-0000-0000-0000D1050000}"/>
    <cellStyle name="Currency 59 14 17" xfId="1495" xr:uid="{00000000-0005-0000-0000-0000D2050000}"/>
    <cellStyle name="Currency 59 14 17 2" xfId="1496" xr:uid="{00000000-0005-0000-0000-0000D3050000}"/>
    <cellStyle name="Currency 59 14 18" xfId="1497" xr:uid="{00000000-0005-0000-0000-0000D4050000}"/>
    <cellStyle name="Currency 59 14 2" xfId="1498" xr:uid="{00000000-0005-0000-0000-0000D5050000}"/>
    <cellStyle name="Currency 59 14 2 2" xfId="1499" xr:uid="{00000000-0005-0000-0000-0000D6050000}"/>
    <cellStyle name="Currency 59 14 3" xfId="1500" xr:uid="{00000000-0005-0000-0000-0000D7050000}"/>
    <cellStyle name="Currency 59 14 3 2" xfId="1501" xr:uid="{00000000-0005-0000-0000-0000D8050000}"/>
    <cellStyle name="Currency 59 14 4" xfId="1502" xr:uid="{00000000-0005-0000-0000-0000D9050000}"/>
    <cellStyle name="Currency 59 14 4 2" xfId="1503" xr:uid="{00000000-0005-0000-0000-0000DA050000}"/>
    <cellStyle name="Currency 59 14 5" xfId="1504" xr:uid="{00000000-0005-0000-0000-0000DB050000}"/>
    <cellStyle name="Currency 59 14 5 2" xfId="1505" xr:uid="{00000000-0005-0000-0000-0000DC050000}"/>
    <cellStyle name="Currency 59 14 6" xfId="1506" xr:uid="{00000000-0005-0000-0000-0000DD050000}"/>
    <cellStyle name="Currency 59 14 6 2" xfId="1507" xr:uid="{00000000-0005-0000-0000-0000DE050000}"/>
    <cellStyle name="Currency 59 14 7" xfId="1508" xr:uid="{00000000-0005-0000-0000-0000DF050000}"/>
    <cellStyle name="Currency 59 14 7 2" xfId="1509" xr:uid="{00000000-0005-0000-0000-0000E0050000}"/>
    <cellStyle name="Currency 59 14 8" xfId="1510" xr:uid="{00000000-0005-0000-0000-0000E1050000}"/>
    <cellStyle name="Currency 59 14 8 2" xfId="1511" xr:uid="{00000000-0005-0000-0000-0000E2050000}"/>
    <cellStyle name="Currency 59 14 9" xfId="1512" xr:uid="{00000000-0005-0000-0000-0000E3050000}"/>
    <cellStyle name="Currency 59 14 9 2" xfId="1513" xr:uid="{00000000-0005-0000-0000-0000E4050000}"/>
    <cellStyle name="Currency 59 15" xfId="1514" xr:uid="{00000000-0005-0000-0000-0000E5050000}"/>
    <cellStyle name="Currency 59 15 2" xfId="1515" xr:uid="{00000000-0005-0000-0000-0000E6050000}"/>
    <cellStyle name="Currency 59 15 2 2" xfId="1516" xr:uid="{00000000-0005-0000-0000-0000E7050000}"/>
    <cellStyle name="Currency 59 15 3" xfId="1517" xr:uid="{00000000-0005-0000-0000-0000E8050000}"/>
    <cellStyle name="Currency 59 2" xfId="1518" xr:uid="{00000000-0005-0000-0000-0000E9050000}"/>
    <cellStyle name="Currency 59 2 2" xfId="1519" xr:uid="{00000000-0005-0000-0000-0000EA050000}"/>
    <cellStyle name="Currency 59 2 2 2" xfId="1520" xr:uid="{00000000-0005-0000-0000-0000EB050000}"/>
    <cellStyle name="Currency 59 2 3" xfId="1521" xr:uid="{00000000-0005-0000-0000-0000EC050000}"/>
    <cellStyle name="Currency 59 3" xfId="1522" xr:uid="{00000000-0005-0000-0000-0000ED050000}"/>
    <cellStyle name="Currency 59 3 2" xfId="1523" xr:uid="{00000000-0005-0000-0000-0000EE050000}"/>
    <cellStyle name="Currency 59 3 2 2" xfId="1524" xr:uid="{00000000-0005-0000-0000-0000EF050000}"/>
    <cellStyle name="Currency 59 3 3" xfId="1525" xr:uid="{00000000-0005-0000-0000-0000F0050000}"/>
    <cellStyle name="Currency 59 4" xfId="1526" xr:uid="{00000000-0005-0000-0000-0000F1050000}"/>
    <cellStyle name="Currency 59 4 2" xfId="1527" xr:uid="{00000000-0005-0000-0000-0000F2050000}"/>
    <cellStyle name="Currency 59 4 2 2" xfId="1528" xr:uid="{00000000-0005-0000-0000-0000F3050000}"/>
    <cellStyle name="Currency 59 4 3" xfId="1529" xr:uid="{00000000-0005-0000-0000-0000F4050000}"/>
    <cellStyle name="Currency 59 5" xfId="1530" xr:uid="{00000000-0005-0000-0000-0000F5050000}"/>
    <cellStyle name="Currency 59 5 2" xfId="1531" xr:uid="{00000000-0005-0000-0000-0000F6050000}"/>
    <cellStyle name="Currency 59 5 2 2" xfId="1532" xr:uid="{00000000-0005-0000-0000-0000F7050000}"/>
    <cellStyle name="Currency 59 5 3" xfId="1533" xr:uid="{00000000-0005-0000-0000-0000F8050000}"/>
    <cellStyle name="Currency 59 6" xfId="1534" xr:uid="{00000000-0005-0000-0000-0000F9050000}"/>
    <cellStyle name="Currency 59 6 2" xfId="1535" xr:uid="{00000000-0005-0000-0000-0000FA050000}"/>
    <cellStyle name="Currency 59 6 2 2" xfId="1536" xr:uid="{00000000-0005-0000-0000-0000FB050000}"/>
    <cellStyle name="Currency 59 6 3" xfId="1537" xr:uid="{00000000-0005-0000-0000-0000FC050000}"/>
    <cellStyle name="Currency 59 7" xfId="1538" xr:uid="{00000000-0005-0000-0000-0000FD050000}"/>
    <cellStyle name="Currency 59 7 2" xfId="1539" xr:uid="{00000000-0005-0000-0000-0000FE050000}"/>
    <cellStyle name="Currency 59 7 2 2" xfId="1540" xr:uid="{00000000-0005-0000-0000-0000FF050000}"/>
    <cellStyle name="Currency 59 7 3" xfId="1541" xr:uid="{00000000-0005-0000-0000-000000060000}"/>
    <cellStyle name="Currency 59 8" xfId="1542" xr:uid="{00000000-0005-0000-0000-000001060000}"/>
    <cellStyle name="Currency 59 8 2" xfId="1543" xr:uid="{00000000-0005-0000-0000-000002060000}"/>
    <cellStyle name="Currency 59 8 2 2" xfId="1544" xr:uid="{00000000-0005-0000-0000-000003060000}"/>
    <cellStyle name="Currency 59 8 3" xfId="1545" xr:uid="{00000000-0005-0000-0000-000004060000}"/>
    <cellStyle name="Currency 59 9" xfId="1546" xr:uid="{00000000-0005-0000-0000-000005060000}"/>
    <cellStyle name="Currency 59 9 2" xfId="1547" xr:uid="{00000000-0005-0000-0000-000006060000}"/>
    <cellStyle name="Currency 59 9 2 2" xfId="1548" xr:uid="{00000000-0005-0000-0000-000007060000}"/>
    <cellStyle name="Currency 59 9 3" xfId="1549" xr:uid="{00000000-0005-0000-0000-000008060000}"/>
    <cellStyle name="Currency 6" xfId="1550" xr:uid="{00000000-0005-0000-0000-000009060000}"/>
    <cellStyle name="Currency 60" xfId="1551" xr:uid="{00000000-0005-0000-0000-00000A060000}"/>
    <cellStyle name="Currency 60 10" xfId="1552" xr:uid="{00000000-0005-0000-0000-00000B060000}"/>
    <cellStyle name="Currency 60 10 2" xfId="1553" xr:uid="{00000000-0005-0000-0000-00000C060000}"/>
    <cellStyle name="Currency 60 10 2 2" xfId="1554" xr:uid="{00000000-0005-0000-0000-00000D060000}"/>
    <cellStyle name="Currency 60 10 3" xfId="1555" xr:uid="{00000000-0005-0000-0000-00000E060000}"/>
    <cellStyle name="Currency 60 11" xfId="1556" xr:uid="{00000000-0005-0000-0000-00000F060000}"/>
    <cellStyle name="Currency 60 11 2" xfId="1557" xr:uid="{00000000-0005-0000-0000-000010060000}"/>
    <cellStyle name="Currency 60 11 2 2" xfId="1558" xr:uid="{00000000-0005-0000-0000-000011060000}"/>
    <cellStyle name="Currency 60 11 3" xfId="1559" xr:uid="{00000000-0005-0000-0000-000012060000}"/>
    <cellStyle name="Currency 60 12" xfId="1560" xr:uid="{00000000-0005-0000-0000-000013060000}"/>
    <cellStyle name="Currency 60 12 2" xfId="1561" xr:uid="{00000000-0005-0000-0000-000014060000}"/>
    <cellStyle name="Currency 60 12 2 2" xfId="1562" xr:uid="{00000000-0005-0000-0000-000015060000}"/>
    <cellStyle name="Currency 60 12 3" xfId="1563" xr:uid="{00000000-0005-0000-0000-000016060000}"/>
    <cellStyle name="Currency 60 13" xfId="1564" xr:uid="{00000000-0005-0000-0000-000017060000}"/>
    <cellStyle name="Currency 60 13 2" xfId="1565" xr:uid="{00000000-0005-0000-0000-000018060000}"/>
    <cellStyle name="Currency 60 13 2 2" xfId="1566" xr:uid="{00000000-0005-0000-0000-000019060000}"/>
    <cellStyle name="Currency 60 13 3" xfId="1567" xr:uid="{00000000-0005-0000-0000-00001A060000}"/>
    <cellStyle name="Currency 60 14" xfId="1568" xr:uid="{00000000-0005-0000-0000-00001B060000}"/>
    <cellStyle name="Currency 60 14 2" xfId="1569" xr:uid="{00000000-0005-0000-0000-00001C060000}"/>
    <cellStyle name="Currency 60 14 2 2" xfId="1570" xr:uid="{00000000-0005-0000-0000-00001D060000}"/>
    <cellStyle name="Currency 60 14 3" xfId="1571" xr:uid="{00000000-0005-0000-0000-00001E060000}"/>
    <cellStyle name="Currency 60 15" xfId="1572" xr:uid="{00000000-0005-0000-0000-00001F060000}"/>
    <cellStyle name="Currency 60 15 2" xfId="1573" xr:uid="{00000000-0005-0000-0000-000020060000}"/>
    <cellStyle name="Currency 60 15 2 2" xfId="1574" xr:uid="{00000000-0005-0000-0000-000021060000}"/>
    <cellStyle name="Currency 60 15 3" xfId="1575" xr:uid="{00000000-0005-0000-0000-000022060000}"/>
    <cellStyle name="Currency 60 16" xfId="1576" xr:uid="{00000000-0005-0000-0000-000023060000}"/>
    <cellStyle name="Currency 60 16 2" xfId="1577" xr:uid="{00000000-0005-0000-0000-000024060000}"/>
    <cellStyle name="Currency 60 17" xfId="1578" xr:uid="{00000000-0005-0000-0000-000025060000}"/>
    <cellStyle name="Currency 60 17 2" xfId="1579" xr:uid="{00000000-0005-0000-0000-000026060000}"/>
    <cellStyle name="Currency 60 18" xfId="1580" xr:uid="{00000000-0005-0000-0000-000027060000}"/>
    <cellStyle name="Currency 60 18 2" xfId="1581" xr:uid="{00000000-0005-0000-0000-000028060000}"/>
    <cellStyle name="Currency 60 19" xfId="1582" xr:uid="{00000000-0005-0000-0000-000029060000}"/>
    <cellStyle name="Currency 60 19 2" xfId="1583" xr:uid="{00000000-0005-0000-0000-00002A060000}"/>
    <cellStyle name="Currency 60 2" xfId="1584" xr:uid="{00000000-0005-0000-0000-00002B060000}"/>
    <cellStyle name="Currency 60 2 2" xfId="1585" xr:uid="{00000000-0005-0000-0000-00002C060000}"/>
    <cellStyle name="Currency 60 2 2 2" xfId="1586" xr:uid="{00000000-0005-0000-0000-00002D060000}"/>
    <cellStyle name="Currency 60 2 3" xfId="1587" xr:uid="{00000000-0005-0000-0000-00002E060000}"/>
    <cellStyle name="Currency 60 20" xfId="1588" xr:uid="{00000000-0005-0000-0000-00002F060000}"/>
    <cellStyle name="Currency 60 20 2" xfId="1589" xr:uid="{00000000-0005-0000-0000-000030060000}"/>
    <cellStyle name="Currency 60 21" xfId="1590" xr:uid="{00000000-0005-0000-0000-000031060000}"/>
    <cellStyle name="Currency 60 21 2" xfId="1591" xr:uid="{00000000-0005-0000-0000-000032060000}"/>
    <cellStyle name="Currency 60 22" xfId="1592" xr:uid="{00000000-0005-0000-0000-000033060000}"/>
    <cellStyle name="Currency 60 22 2" xfId="1593" xr:uid="{00000000-0005-0000-0000-000034060000}"/>
    <cellStyle name="Currency 60 23" xfId="1594" xr:uid="{00000000-0005-0000-0000-000035060000}"/>
    <cellStyle name="Currency 60 23 2" xfId="1595" xr:uid="{00000000-0005-0000-0000-000036060000}"/>
    <cellStyle name="Currency 60 24" xfId="1596" xr:uid="{00000000-0005-0000-0000-000037060000}"/>
    <cellStyle name="Currency 60 24 2" xfId="1597" xr:uid="{00000000-0005-0000-0000-000038060000}"/>
    <cellStyle name="Currency 60 25" xfId="1598" xr:uid="{00000000-0005-0000-0000-000039060000}"/>
    <cellStyle name="Currency 60 25 2" xfId="1599" xr:uid="{00000000-0005-0000-0000-00003A060000}"/>
    <cellStyle name="Currency 60 26" xfId="1600" xr:uid="{00000000-0005-0000-0000-00003B060000}"/>
    <cellStyle name="Currency 60 26 2" xfId="1601" xr:uid="{00000000-0005-0000-0000-00003C060000}"/>
    <cellStyle name="Currency 60 27" xfId="1602" xr:uid="{00000000-0005-0000-0000-00003D060000}"/>
    <cellStyle name="Currency 60 27 2" xfId="1603" xr:uid="{00000000-0005-0000-0000-00003E060000}"/>
    <cellStyle name="Currency 60 28" xfId="1604" xr:uid="{00000000-0005-0000-0000-00003F060000}"/>
    <cellStyle name="Currency 60 28 2" xfId="1605" xr:uid="{00000000-0005-0000-0000-000040060000}"/>
    <cellStyle name="Currency 60 29" xfId="1606" xr:uid="{00000000-0005-0000-0000-000041060000}"/>
    <cellStyle name="Currency 60 29 2" xfId="1607" xr:uid="{00000000-0005-0000-0000-000042060000}"/>
    <cellStyle name="Currency 60 3" xfId="1608" xr:uid="{00000000-0005-0000-0000-000043060000}"/>
    <cellStyle name="Currency 60 3 2" xfId="1609" xr:uid="{00000000-0005-0000-0000-000044060000}"/>
    <cellStyle name="Currency 60 3 2 2" xfId="1610" xr:uid="{00000000-0005-0000-0000-000045060000}"/>
    <cellStyle name="Currency 60 3 3" xfId="1611" xr:uid="{00000000-0005-0000-0000-000046060000}"/>
    <cellStyle name="Currency 60 30" xfId="1612" xr:uid="{00000000-0005-0000-0000-000047060000}"/>
    <cellStyle name="Currency 60 30 2" xfId="1613" xr:uid="{00000000-0005-0000-0000-000048060000}"/>
    <cellStyle name="Currency 60 31" xfId="1614" xr:uid="{00000000-0005-0000-0000-000049060000}"/>
    <cellStyle name="Currency 60 31 2" xfId="1615" xr:uid="{00000000-0005-0000-0000-00004A060000}"/>
    <cellStyle name="Currency 60 32" xfId="1616" xr:uid="{00000000-0005-0000-0000-00004B060000}"/>
    <cellStyle name="Currency 60 4" xfId="1617" xr:uid="{00000000-0005-0000-0000-00004C060000}"/>
    <cellStyle name="Currency 60 4 2" xfId="1618" xr:uid="{00000000-0005-0000-0000-00004D060000}"/>
    <cellStyle name="Currency 60 4 2 2" xfId="1619" xr:uid="{00000000-0005-0000-0000-00004E060000}"/>
    <cellStyle name="Currency 60 4 3" xfId="1620" xr:uid="{00000000-0005-0000-0000-00004F060000}"/>
    <cellStyle name="Currency 60 5" xfId="1621" xr:uid="{00000000-0005-0000-0000-000050060000}"/>
    <cellStyle name="Currency 60 5 2" xfId="1622" xr:uid="{00000000-0005-0000-0000-000051060000}"/>
    <cellStyle name="Currency 60 5 2 2" xfId="1623" xr:uid="{00000000-0005-0000-0000-000052060000}"/>
    <cellStyle name="Currency 60 5 3" xfId="1624" xr:uid="{00000000-0005-0000-0000-000053060000}"/>
    <cellStyle name="Currency 60 6" xfId="1625" xr:uid="{00000000-0005-0000-0000-000054060000}"/>
    <cellStyle name="Currency 60 6 2" xfId="1626" xr:uid="{00000000-0005-0000-0000-000055060000}"/>
    <cellStyle name="Currency 60 6 2 2" xfId="1627" xr:uid="{00000000-0005-0000-0000-000056060000}"/>
    <cellStyle name="Currency 60 6 3" xfId="1628" xr:uid="{00000000-0005-0000-0000-000057060000}"/>
    <cellStyle name="Currency 60 7" xfId="1629" xr:uid="{00000000-0005-0000-0000-000058060000}"/>
    <cellStyle name="Currency 60 7 2" xfId="1630" xr:uid="{00000000-0005-0000-0000-000059060000}"/>
    <cellStyle name="Currency 60 7 2 2" xfId="1631" xr:uid="{00000000-0005-0000-0000-00005A060000}"/>
    <cellStyle name="Currency 60 7 3" xfId="1632" xr:uid="{00000000-0005-0000-0000-00005B060000}"/>
    <cellStyle name="Currency 60 8" xfId="1633" xr:uid="{00000000-0005-0000-0000-00005C060000}"/>
    <cellStyle name="Currency 60 8 2" xfId="1634" xr:uid="{00000000-0005-0000-0000-00005D060000}"/>
    <cellStyle name="Currency 60 8 2 2" xfId="1635" xr:uid="{00000000-0005-0000-0000-00005E060000}"/>
    <cellStyle name="Currency 60 8 3" xfId="1636" xr:uid="{00000000-0005-0000-0000-00005F060000}"/>
    <cellStyle name="Currency 60 9" xfId="1637" xr:uid="{00000000-0005-0000-0000-000060060000}"/>
    <cellStyle name="Currency 60 9 2" xfId="1638" xr:uid="{00000000-0005-0000-0000-000061060000}"/>
    <cellStyle name="Currency 60 9 2 2" xfId="1639" xr:uid="{00000000-0005-0000-0000-000062060000}"/>
    <cellStyle name="Currency 60 9 3" xfId="1640" xr:uid="{00000000-0005-0000-0000-000063060000}"/>
    <cellStyle name="Currency 62 10" xfId="1641" xr:uid="{00000000-0005-0000-0000-000064060000}"/>
    <cellStyle name="Currency 62 10 2" xfId="1642" xr:uid="{00000000-0005-0000-0000-000065060000}"/>
    <cellStyle name="Currency 62 10 2 2" xfId="1643" xr:uid="{00000000-0005-0000-0000-000066060000}"/>
    <cellStyle name="Currency 62 10 3" xfId="1644" xr:uid="{00000000-0005-0000-0000-000067060000}"/>
    <cellStyle name="Currency 62 11" xfId="1645" xr:uid="{00000000-0005-0000-0000-000068060000}"/>
    <cellStyle name="Currency 62 11 2" xfId="1646" xr:uid="{00000000-0005-0000-0000-000069060000}"/>
    <cellStyle name="Currency 62 11 2 2" xfId="1647" xr:uid="{00000000-0005-0000-0000-00006A060000}"/>
    <cellStyle name="Currency 62 11 3" xfId="1648" xr:uid="{00000000-0005-0000-0000-00006B060000}"/>
    <cellStyle name="Currency 62 12" xfId="1649" xr:uid="{00000000-0005-0000-0000-00006C060000}"/>
    <cellStyle name="Currency 62 12 2" xfId="1650" xr:uid="{00000000-0005-0000-0000-00006D060000}"/>
    <cellStyle name="Currency 62 12 2 2" xfId="1651" xr:uid="{00000000-0005-0000-0000-00006E060000}"/>
    <cellStyle name="Currency 62 12 3" xfId="1652" xr:uid="{00000000-0005-0000-0000-00006F060000}"/>
    <cellStyle name="Currency 62 13" xfId="1653" xr:uid="{00000000-0005-0000-0000-000070060000}"/>
    <cellStyle name="Currency 62 13 2" xfId="1654" xr:uid="{00000000-0005-0000-0000-000071060000}"/>
    <cellStyle name="Currency 62 13 2 2" xfId="1655" xr:uid="{00000000-0005-0000-0000-000072060000}"/>
    <cellStyle name="Currency 62 13 3" xfId="1656" xr:uid="{00000000-0005-0000-0000-000073060000}"/>
    <cellStyle name="Currency 62 14" xfId="1657" xr:uid="{00000000-0005-0000-0000-000074060000}"/>
    <cellStyle name="Currency 62 14 2" xfId="1658" xr:uid="{00000000-0005-0000-0000-000075060000}"/>
    <cellStyle name="Currency 62 14 2 2" xfId="1659" xr:uid="{00000000-0005-0000-0000-000076060000}"/>
    <cellStyle name="Currency 62 14 3" xfId="1660" xr:uid="{00000000-0005-0000-0000-000077060000}"/>
    <cellStyle name="Currency 62 14 3 2" xfId="1661" xr:uid="{00000000-0005-0000-0000-000078060000}"/>
    <cellStyle name="Currency 62 14 4" xfId="1662" xr:uid="{00000000-0005-0000-0000-000079060000}"/>
    <cellStyle name="Currency 62 15" xfId="1663" xr:uid="{00000000-0005-0000-0000-00007A060000}"/>
    <cellStyle name="Currency 62 15 2" xfId="1664" xr:uid="{00000000-0005-0000-0000-00007B060000}"/>
    <cellStyle name="Currency 62 15 2 2" xfId="1665" xr:uid="{00000000-0005-0000-0000-00007C060000}"/>
    <cellStyle name="Currency 62 15 3" xfId="1666" xr:uid="{00000000-0005-0000-0000-00007D060000}"/>
    <cellStyle name="Currency 62 2" xfId="1667" xr:uid="{00000000-0005-0000-0000-00007E060000}"/>
    <cellStyle name="Currency 62 2 2" xfId="1668" xr:uid="{00000000-0005-0000-0000-00007F060000}"/>
    <cellStyle name="Currency 62 2 2 2" xfId="1669" xr:uid="{00000000-0005-0000-0000-000080060000}"/>
    <cellStyle name="Currency 62 2 3" xfId="1670" xr:uid="{00000000-0005-0000-0000-000081060000}"/>
    <cellStyle name="Currency 62 3" xfId="1671" xr:uid="{00000000-0005-0000-0000-000082060000}"/>
    <cellStyle name="Currency 62 3 2" xfId="1672" xr:uid="{00000000-0005-0000-0000-000083060000}"/>
    <cellStyle name="Currency 62 3 2 2" xfId="1673" xr:uid="{00000000-0005-0000-0000-000084060000}"/>
    <cellStyle name="Currency 62 3 3" xfId="1674" xr:uid="{00000000-0005-0000-0000-000085060000}"/>
    <cellStyle name="Currency 62 4" xfId="1675" xr:uid="{00000000-0005-0000-0000-000086060000}"/>
    <cellStyle name="Currency 62 4 2" xfId="1676" xr:uid="{00000000-0005-0000-0000-000087060000}"/>
    <cellStyle name="Currency 62 4 2 2" xfId="1677" xr:uid="{00000000-0005-0000-0000-000088060000}"/>
    <cellStyle name="Currency 62 4 3" xfId="1678" xr:uid="{00000000-0005-0000-0000-000089060000}"/>
    <cellStyle name="Currency 62 5" xfId="1679" xr:uid="{00000000-0005-0000-0000-00008A060000}"/>
    <cellStyle name="Currency 62 5 2" xfId="1680" xr:uid="{00000000-0005-0000-0000-00008B060000}"/>
    <cellStyle name="Currency 62 5 2 2" xfId="1681" xr:uid="{00000000-0005-0000-0000-00008C060000}"/>
    <cellStyle name="Currency 62 5 3" xfId="1682" xr:uid="{00000000-0005-0000-0000-00008D060000}"/>
    <cellStyle name="Currency 62 6" xfId="1683" xr:uid="{00000000-0005-0000-0000-00008E060000}"/>
    <cellStyle name="Currency 62 6 2" xfId="1684" xr:uid="{00000000-0005-0000-0000-00008F060000}"/>
    <cellStyle name="Currency 62 6 2 2" xfId="1685" xr:uid="{00000000-0005-0000-0000-000090060000}"/>
    <cellStyle name="Currency 62 6 3" xfId="1686" xr:uid="{00000000-0005-0000-0000-000091060000}"/>
    <cellStyle name="Currency 62 7" xfId="1687" xr:uid="{00000000-0005-0000-0000-000092060000}"/>
    <cellStyle name="Currency 62 7 2" xfId="1688" xr:uid="{00000000-0005-0000-0000-000093060000}"/>
    <cellStyle name="Currency 62 7 2 2" xfId="1689" xr:uid="{00000000-0005-0000-0000-000094060000}"/>
    <cellStyle name="Currency 62 7 3" xfId="1690" xr:uid="{00000000-0005-0000-0000-000095060000}"/>
    <cellStyle name="Currency 62 8" xfId="1691" xr:uid="{00000000-0005-0000-0000-000096060000}"/>
    <cellStyle name="Currency 62 8 2" xfId="1692" xr:uid="{00000000-0005-0000-0000-000097060000}"/>
    <cellStyle name="Currency 62 8 2 2" xfId="1693" xr:uid="{00000000-0005-0000-0000-000098060000}"/>
    <cellStyle name="Currency 62 8 3" xfId="1694" xr:uid="{00000000-0005-0000-0000-000099060000}"/>
    <cellStyle name="Currency 62 9" xfId="1695" xr:uid="{00000000-0005-0000-0000-00009A060000}"/>
    <cellStyle name="Currency 62 9 2" xfId="1696" xr:uid="{00000000-0005-0000-0000-00009B060000}"/>
    <cellStyle name="Currency 62 9 2 2" xfId="1697" xr:uid="{00000000-0005-0000-0000-00009C060000}"/>
    <cellStyle name="Currency 62 9 3" xfId="1698" xr:uid="{00000000-0005-0000-0000-00009D060000}"/>
    <cellStyle name="Currency 64 10" xfId="1699" xr:uid="{00000000-0005-0000-0000-00009E060000}"/>
    <cellStyle name="Currency 64 10 2" xfId="1700" xr:uid="{00000000-0005-0000-0000-00009F060000}"/>
    <cellStyle name="Currency 64 10 2 2" xfId="1701" xr:uid="{00000000-0005-0000-0000-0000A0060000}"/>
    <cellStyle name="Currency 64 10 3" xfId="1702" xr:uid="{00000000-0005-0000-0000-0000A1060000}"/>
    <cellStyle name="Currency 64 11" xfId="1703" xr:uid="{00000000-0005-0000-0000-0000A2060000}"/>
    <cellStyle name="Currency 64 11 2" xfId="1704" xr:uid="{00000000-0005-0000-0000-0000A3060000}"/>
    <cellStyle name="Currency 64 11 2 2" xfId="1705" xr:uid="{00000000-0005-0000-0000-0000A4060000}"/>
    <cellStyle name="Currency 64 11 3" xfId="1706" xr:uid="{00000000-0005-0000-0000-0000A5060000}"/>
    <cellStyle name="Currency 64 12" xfId="1707" xr:uid="{00000000-0005-0000-0000-0000A6060000}"/>
    <cellStyle name="Currency 64 12 2" xfId="1708" xr:uid="{00000000-0005-0000-0000-0000A7060000}"/>
    <cellStyle name="Currency 64 12 2 2" xfId="1709" xr:uid="{00000000-0005-0000-0000-0000A8060000}"/>
    <cellStyle name="Currency 64 12 3" xfId="1710" xr:uid="{00000000-0005-0000-0000-0000A9060000}"/>
    <cellStyle name="Currency 64 13" xfId="1711" xr:uid="{00000000-0005-0000-0000-0000AA060000}"/>
    <cellStyle name="Currency 64 13 2" xfId="1712" xr:uid="{00000000-0005-0000-0000-0000AB060000}"/>
    <cellStyle name="Currency 64 13 2 2" xfId="1713" xr:uid="{00000000-0005-0000-0000-0000AC060000}"/>
    <cellStyle name="Currency 64 13 3" xfId="1714" xr:uid="{00000000-0005-0000-0000-0000AD060000}"/>
    <cellStyle name="Currency 64 14" xfId="1715" xr:uid="{00000000-0005-0000-0000-0000AE060000}"/>
    <cellStyle name="Currency 64 14 2" xfId="1716" xr:uid="{00000000-0005-0000-0000-0000AF060000}"/>
    <cellStyle name="Currency 64 14 2 2" xfId="1717" xr:uid="{00000000-0005-0000-0000-0000B0060000}"/>
    <cellStyle name="Currency 64 14 3" xfId="1718" xr:uid="{00000000-0005-0000-0000-0000B1060000}"/>
    <cellStyle name="Currency 64 15" xfId="1719" xr:uid="{00000000-0005-0000-0000-0000B2060000}"/>
    <cellStyle name="Currency 64 15 2" xfId="1720" xr:uid="{00000000-0005-0000-0000-0000B3060000}"/>
    <cellStyle name="Currency 64 15 2 2" xfId="1721" xr:uid="{00000000-0005-0000-0000-0000B4060000}"/>
    <cellStyle name="Currency 64 15 3" xfId="1722" xr:uid="{00000000-0005-0000-0000-0000B5060000}"/>
    <cellStyle name="Currency 64 15 3 2" xfId="1723" xr:uid="{00000000-0005-0000-0000-0000B6060000}"/>
    <cellStyle name="Currency 64 15 4" xfId="1724" xr:uid="{00000000-0005-0000-0000-0000B7060000}"/>
    <cellStyle name="Currency 64 2" xfId="1725" xr:uid="{00000000-0005-0000-0000-0000B8060000}"/>
    <cellStyle name="Currency 64 2 2" xfId="1726" xr:uid="{00000000-0005-0000-0000-0000B9060000}"/>
    <cellStyle name="Currency 64 2 2 2" xfId="1727" xr:uid="{00000000-0005-0000-0000-0000BA060000}"/>
    <cellStyle name="Currency 64 2 3" xfId="1728" xr:uid="{00000000-0005-0000-0000-0000BB060000}"/>
    <cellStyle name="Currency 64 3" xfId="1729" xr:uid="{00000000-0005-0000-0000-0000BC060000}"/>
    <cellStyle name="Currency 64 3 2" xfId="1730" xr:uid="{00000000-0005-0000-0000-0000BD060000}"/>
    <cellStyle name="Currency 64 3 2 2" xfId="1731" xr:uid="{00000000-0005-0000-0000-0000BE060000}"/>
    <cellStyle name="Currency 64 3 3" xfId="1732" xr:uid="{00000000-0005-0000-0000-0000BF060000}"/>
    <cellStyle name="Currency 64 4" xfId="1733" xr:uid="{00000000-0005-0000-0000-0000C0060000}"/>
    <cellStyle name="Currency 64 4 2" xfId="1734" xr:uid="{00000000-0005-0000-0000-0000C1060000}"/>
    <cellStyle name="Currency 64 4 2 2" xfId="1735" xr:uid="{00000000-0005-0000-0000-0000C2060000}"/>
    <cellStyle name="Currency 64 4 3" xfId="1736" xr:uid="{00000000-0005-0000-0000-0000C3060000}"/>
    <cellStyle name="Currency 64 5" xfId="1737" xr:uid="{00000000-0005-0000-0000-0000C4060000}"/>
    <cellStyle name="Currency 64 5 2" xfId="1738" xr:uid="{00000000-0005-0000-0000-0000C5060000}"/>
    <cellStyle name="Currency 64 5 2 2" xfId="1739" xr:uid="{00000000-0005-0000-0000-0000C6060000}"/>
    <cellStyle name="Currency 64 5 3" xfId="1740" xr:uid="{00000000-0005-0000-0000-0000C7060000}"/>
    <cellStyle name="Currency 64 6" xfId="1741" xr:uid="{00000000-0005-0000-0000-0000C8060000}"/>
    <cellStyle name="Currency 64 6 2" xfId="1742" xr:uid="{00000000-0005-0000-0000-0000C9060000}"/>
    <cellStyle name="Currency 64 6 2 2" xfId="1743" xr:uid="{00000000-0005-0000-0000-0000CA060000}"/>
    <cellStyle name="Currency 64 6 3" xfId="1744" xr:uid="{00000000-0005-0000-0000-0000CB060000}"/>
    <cellStyle name="Currency 64 7" xfId="1745" xr:uid="{00000000-0005-0000-0000-0000CC060000}"/>
    <cellStyle name="Currency 64 7 2" xfId="1746" xr:uid="{00000000-0005-0000-0000-0000CD060000}"/>
    <cellStyle name="Currency 64 7 2 2" xfId="1747" xr:uid="{00000000-0005-0000-0000-0000CE060000}"/>
    <cellStyle name="Currency 64 7 3" xfId="1748" xr:uid="{00000000-0005-0000-0000-0000CF060000}"/>
    <cellStyle name="Currency 64 8" xfId="1749" xr:uid="{00000000-0005-0000-0000-0000D0060000}"/>
    <cellStyle name="Currency 64 8 2" xfId="1750" xr:uid="{00000000-0005-0000-0000-0000D1060000}"/>
    <cellStyle name="Currency 64 8 2 2" xfId="1751" xr:uid="{00000000-0005-0000-0000-0000D2060000}"/>
    <cellStyle name="Currency 64 8 3" xfId="1752" xr:uid="{00000000-0005-0000-0000-0000D3060000}"/>
    <cellStyle name="Currency 64 9" xfId="1753" xr:uid="{00000000-0005-0000-0000-0000D4060000}"/>
    <cellStyle name="Currency 64 9 2" xfId="1754" xr:uid="{00000000-0005-0000-0000-0000D5060000}"/>
    <cellStyle name="Currency 64 9 2 2" xfId="1755" xr:uid="{00000000-0005-0000-0000-0000D6060000}"/>
    <cellStyle name="Currency 64 9 3" xfId="1756" xr:uid="{00000000-0005-0000-0000-0000D7060000}"/>
    <cellStyle name="Currency 7" xfId="1757" xr:uid="{00000000-0005-0000-0000-0000D8060000}"/>
    <cellStyle name="Currency 8" xfId="4304" xr:uid="{00000000-0005-0000-0000-0000D9060000}"/>
    <cellStyle name="Currency 82" xfId="1758" xr:uid="{00000000-0005-0000-0000-0000DA060000}"/>
    <cellStyle name="Currency 82 2" xfId="1759" xr:uid="{00000000-0005-0000-0000-0000DB060000}"/>
    <cellStyle name="Currency 82 2 2" xfId="1760" xr:uid="{00000000-0005-0000-0000-0000DC060000}"/>
    <cellStyle name="Currency 82 3" xfId="1761" xr:uid="{00000000-0005-0000-0000-0000DD060000}"/>
    <cellStyle name="Currency 9" xfId="4305" xr:uid="{00000000-0005-0000-0000-0000DE060000}"/>
    <cellStyle name="Currency 94" xfId="1762" xr:uid="{00000000-0005-0000-0000-0000DF060000}"/>
    <cellStyle name="Currency 94 2" xfId="1763" xr:uid="{00000000-0005-0000-0000-0000E0060000}"/>
    <cellStyle name="Currency 94 2 2" xfId="1764" xr:uid="{00000000-0005-0000-0000-0000E1060000}"/>
    <cellStyle name="Currency 94 3" xfId="1765" xr:uid="{00000000-0005-0000-0000-0000E2060000}"/>
    <cellStyle name="Currency 94 3 2" xfId="1766" xr:uid="{00000000-0005-0000-0000-0000E3060000}"/>
    <cellStyle name="Currency 94 4" xfId="1767" xr:uid="{00000000-0005-0000-0000-0000E4060000}"/>
    <cellStyle name="Currency 95" xfId="1768" xr:uid="{00000000-0005-0000-0000-0000E5060000}"/>
    <cellStyle name="Currency 95 2" xfId="1769" xr:uid="{00000000-0005-0000-0000-0000E6060000}"/>
    <cellStyle name="Currency 95 2 2" xfId="1770" xr:uid="{00000000-0005-0000-0000-0000E7060000}"/>
    <cellStyle name="Currency 95 3" xfId="1771" xr:uid="{00000000-0005-0000-0000-0000E8060000}"/>
    <cellStyle name="Currency 95 3 2" xfId="1772" xr:uid="{00000000-0005-0000-0000-0000E9060000}"/>
    <cellStyle name="Currency 95 4" xfId="1773" xr:uid="{00000000-0005-0000-0000-0000EA060000}"/>
    <cellStyle name="Currency Input" xfId="4512" xr:uid="{00000000-0005-0000-0000-0000EB060000}"/>
    <cellStyle name="Currency0" xfId="4186" xr:uid="{00000000-0005-0000-0000-0000EC060000}"/>
    <cellStyle name="d" xfId="4187" xr:uid="{00000000-0005-0000-0000-0000ED060000}"/>
    <cellStyle name="d," xfId="4188" xr:uid="{00000000-0005-0000-0000-0000EE060000}"/>
    <cellStyle name="d1" xfId="4189" xr:uid="{00000000-0005-0000-0000-0000EF060000}"/>
    <cellStyle name="d1," xfId="4190" xr:uid="{00000000-0005-0000-0000-0000F0060000}"/>
    <cellStyle name="d2" xfId="4191" xr:uid="{00000000-0005-0000-0000-0000F1060000}"/>
    <cellStyle name="d2," xfId="4192" xr:uid="{00000000-0005-0000-0000-0000F2060000}"/>
    <cellStyle name="d3" xfId="4193" xr:uid="{00000000-0005-0000-0000-0000F3060000}"/>
    <cellStyle name="Dash" xfId="4194" xr:uid="{00000000-0005-0000-0000-0000F4060000}"/>
    <cellStyle name="Date" xfId="87" xr:uid="{00000000-0005-0000-0000-0000F5060000}"/>
    <cellStyle name="Date [Abbreviated]" xfId="4513" xr:uid="{00000000-0005-0000-0000-0000F6060000}"/>
    <cellStyle name="Date [Long Europe]" xfId="4514" xr:uid="{00000000-0005-0000-0000-0000F7060000}"/>
    <cellStyle name="Date [Long U.S.]" xfId="4515" xr:uid="{00000000-0005-0000-0000-0000F8060000}"/>
    <cellStyle name="Date [Short Europe]" xfId="4516" xr:uid="{00000000-0005-0000-0000-0000F9060000}"/>
    <cellStyle name="Date [Short U.S.]" xfId="4517" xr:uid="{00000000-0005-0000-0000-0000FA060000}"/>
    <cellStyle name="Date_ITCM 2010 Template" xfId="4518" xr:uid="{00000000-0005-0000-0000-0000FB060000}"/>
    <cellStyle name="DateTime" xfId="4306" xr:uid="{00000000-0005-0000-0000-0000FC060000}"/>
    <cellStyle name="DateTime 2" xfId="4307" xr:uid="{00000000-0005-0000-0000-0000FD060000}"/>
    <cellStyle name="Define$0" xfId="4195" xr:uid="{00000000-0005-0000-0000-0000FE060000}"/>
    <cellStyle name="Define$1" xfId="4196" xr:uid="{00000000-0005-0000-0000-0000FF060000}"/>
    <cellStyle name="Define$2" xfId="4197" xr:uid="{00000000-0005-0000-0000-000000070000}"/>
    <cellStyle name="Define0" xfId="4198" xr:uid="{00000000-0005-0000-0000-000001070000}"/>
    <cellStyle name="Define1" xfId="4199" xr:uid="{00000000-0005-0000-0000-000002070000}"/>
    <cellStyle name="Define1x" xfId="4200" xr:uid="{00000000-0005-0000-0000-000003070000}"/>
    <cellStyle name="Define2" xfId="4201" xr:uid="{00000000-0005-0000-0000-000004070000}"/>
    <cellStyle name="Define2x" xfId="4202" xr:uid="{00000000-0005-0000-0000-000005070000}"/>
    <cellStyle name="d-mmm" xfId="4308" xr:uid="{00000000-0005-0000-0000-000006070000}"/>
    <cellStyle name="d-mmm-yy" xfId="4309" xr:uid="{00000000-0005-0000-0000-000007070000}"/>
    <cellStyle name="Dollar" xfId="4203" xr:uid="{00000000-0005-0000-0000-000008070000}"/>
    <cellStyle name="Dot" xfId="4310" xr:uid="{00000000-0005-0000-0000-000009070000}"/>
    <cellStyle name="e" xfId="4204" xr:uid="{00000000-0005-0000-0000-00000A070000}"/>
    <cellStyle name="e1" xfId="4205" xr:uid="{00000000-0005-0000-0000-00000B070000}"/>
    <cellStyle name="e2" xfId="4206" xr:uid="{00000000-0005-0000-0000-00000C070000}"/>
    <cellStyle name="Euro" xfId="88" xr:uid="{00000000-0005-0000-0000-00000D070000}"/>
    <cellStyle name="Explanatory Text 10" xfId="1774" xr:uid="{00000000-0005-0000-0000-00000E070000}"/>
    <cellStyle name="Explanatory Text 11" xfId="1775" xr:uid="{00000000-0005-0000-0000-00000F070000}"/>
    <cellStyle name="Explanatory Text 12" xfId="1776" xr:uid="{00000000-0005-0000-0000-000010070000}"/>
    <cellStyle name="Explanatory Text 13" xfId="1777" xr:uid="{00000000-0005-0000-0000-000011070000}"/>
    <cellStyle name="Explanatory Text 14" xfId="1778" xr:uid="{00000000-0005-0000-0000-000012070000}"/>
    <cellStyle name="Explanatory Text 15" xfId="1779" xr:uid="{00000000-0005-0000-0000-000013070000}"/>
    <cellStyle name="Explanatory Text 16" xfId="1780" xr:uid="{00000000-0005-0000-0000-000014070000}"/>
    <cellStyle name="Explanatory Text 17" xfId="1781" xr:uid="{00000000-0005-0000-0000-000015070000}"/>
    <cellStyle name="Explanatory Text 18" xfId="1782" xr:uid="{00000000-0005-0000-0000-000016070000}"/>
    <cellStyle name="Explanatory Text 2" xfId="89" xr:uid="{00000000-0005-0000-0000-000017070000}"/>
    <cellStyle name="Explanatory Text 2 2" xfId="1783" xr:uid="{00000000-0005-0000-0000-000018070000}"/>
    <cellStyle name="Explanatory Text 2 3" xfId="1784" xr:uid="{00000000-0005-0000-0000-000019070000}"/>
    <cellStyle name="Explanatory Text 2 4" xfId="1785" xr:uid="{00000000-0005-0000-0000-00001A070000}"/>
    <cellStyle name="Explanatory Text 2 5" xfId="1786" xr:uid="{00000000-0005-0000-0000-00001B070000}"/>
    <cellStyle name="Explanatory Text 3" xfId="1787" xr:uid="{00000000-0005-0000-0000-00001C070000}"/>
    <cellStyle name="Explanatory Text 4" xfId="1788" xr:uid="{00000000-0005-0000-0000-00001D070000}"/>
    <cellStyle name="Explanatory Text 5" xfId="1789" xr:uid="{00000000-0005-0000-0000-00001E070000}"/>
    <cellStyle name="Explanatory Text 6" xfId="1790" xr:uid="{00000000-0005-0000-0000-00001F070000}"/>
    <cellStyle name="Explanatory Text 7" xfId="1791" xr:uid="{00000000-0005-0000-0000-000020070000}"/>
    <cellStyle name="Explanatory Text 8" xfId="1792" xr:uid="{00000000-0005-0000-0000-000021070000}"/>
    <cellStyle name="Explanatory Text 9" xfId="1793" xr:uid="{00000000-0005-0000-0000-000022070000}"/>
    <cellStyle name="Fixed" xfId="90" xr:uid="{00000000-0005-0000-0000-000023070000}"/>
    <cellStyle name="Fixed 2" xfId="4311" xr:uid="{00000000-0005-0000-0000-000024070000}"/>
    <cellStyle name="Fixed 3" xfId="4312" xr:uid="{00000000-0005-0000-0000-000025070000}"/>
    <cellStyle name="Fixed1 - Style1" xfId="91" xr:uid="{00000000-0005-0000-0000-000026070000}"/>
    <cellStyle name="FOOTER - Style1" xfId="4519" xr:uid="{00000000-0005-0000-0000-000027070000}"/>
    <cellStyle name="g" xfId="4207" xr:uid="{00000000-0005-0000-0000-000028070000}"/>
    <cellStyle name="general" xfId="4208" xr:uid="{00000000-0005-0000-0000-000029070000}"/>
    <cellStyle name="General [C]" xfId="4520" xr:uid="{00000000-0005-0000-0000-00002A070000}"/>
    <cellStyle name="General [R]" xfId="4521" xr:uid="{00000000-0005-0000-0000-00002B070000}"/>
    <cellStyle name="Geneva 9" xfId="4313" xr:uid="{00000000-0005-0000-0000-00002C070000}"/>
    <cellStyle name="Gilsans" xfId="92" xr:uid="{00000000-0005-0000-0000-00002D070000}"/>
    <cellStyle name="Gilsansl" xfId="93" xr:uid="{00000000-0005-0000-0000-00002E070000}"/>
    <cellStyle name="Good 10" xfId="1794" xr:uid="{00000000-0005-0000-0000-00002F070000}"/>
    <cellStyle name="Good 11" xfId="1795" xr:uid="{00000000-0005-0000-0000-000030070000}"/>
    <cellStyle name="Good 12" xfId="1796" xr:uid="{00000000-0005-0000-0000-000031070000}"/>
    <cellStyle name="Good 13" xfId="1797" xr:uid="{00000000-0005-0000-0000-000032070000}"/>
    <cellStyle name="Good 14" xfId="1798" xr:uid="{00000000-0005-0000-0000-000033070000}"/>
    <cellStyle name="Good 15" xfId="1799" xr:uid="{00000000-0005-0000-0000-000034070000}"/>
    <cellStyle name="Good 16" xfId="1800" xr:uid="{00000000-0005-0000-0000-000035070000}"/>
    <cellStyle name="Good 17" xfId="1801" xr:uid="{00000000-0005-0000-0000-000036070000}"/>
    <cellStyle name="Good 18" xfId="1802" xr:uid="{00000000-0005-0000-0000-000037070000}"/>
    <cellStyle name="Good 2" xfId="94" xr:uid="{00000000-0005-0000-0000-000038070000}"/>
    <cellStyle name="Good 2 2" xfId="1803" xr:uid="{00000000-0005-0000-0000-000039070000}"/>
    <cellStyle name="Good 2 3" xfId="1804" xr:uid="{00000000-0005-0000-0000-00003A070000}"/>
    <cellStyle name="Good 2 4" xfId="1805" xr:uid="{00000000-0005-0000-0000-00003B070000}"/>
    <cellStyle name="Good 2 5" xfId="1806" xr:uid="{00000000-0005-0000-0000-00003C070000}"/>
    <cellStyle name="Good 3" xfId="1807" xr:uid="{00000000-0005-0000-0000-00003D070000}"/>
    <cellStyle name="Good 4" xfId="1808" xr:uid="{00000000-0005-0000-0000-00003E070000}"/>
    <cellStyle name="Good 5" xfId="1809" xr:uid="{00000000-0005-0000-0000-00003F070000}"/>
    <cellStyle name="Good 6" xfId="1810" xr:uid="{00000000-0005-0000-0000-000040070000}"/>
    <cellStyle name="Good 7" xfId="1811" xr:uid="{00000000-0005-0000-0000-000041070000}"/>
    <cellStyle name="Good 8" xfId="1812" xr:uid="{00000000-0005-0000-0000-000042070000}"/>
    <cellStyle name="Good 9" xfId="1813" xr:uid="{00000000-0005-0000-0000-000043070000}"/>
    <cellStyle name="Green" xfId="4209" xr:uid="{00000000-0005-0000-0000-000044070000}"/>
    <cellStyle name="Grey" xfId="95" xr:uid="{00000000-0005-0000-0000-000045070000}"/>
    <cellStyle name="Grey 2" xfId="4314" xr:uid="{00000000-0005-0000-0000-000046070000}"/>
    <cellStyle name="HEADER" xfId="96" xr:uid="{00000000-0005-0000-0000-000047070000}"/>
    <cellStyle name="Header1" xfId="97" xr:uid="{00000000-0005-0000-0000-000048070000}"/>
    <cellStyle name="Header2" xfId="98" xr:uid="{00000000-0005-0000-0000-000049070000}"/>
    <cellStyle name="Heading" xfId="99" xr:uid="{00000000-0005-0000-0000-00004A070000}"/>
    <cellStyle name="Heading 1 10" xfId="1814" xr:uid="{00000000-0005-0000-0000-00004B070000}"/>
    <cellStyle name="Heading 1 11" xfId="1815" xr:uid="{00000000-0005-0000-0000-00004C070000}"/>
    <cellStyle name="Heading 1 12" xfId="1816" xr:uid="{00000000-0005-0000-0000-00004D070000}"/>
    <cellStyle name="Heading 1 13" xfId="1817" xr:uid="{00000000-0005-0000-0000-00004E070000}"/>
    <cellStyle name="Heading 1 14" xfId="1818" xr:uid="{00000000-0005-0000-0000-00004F070000}"/>
    <cellStyle name="Heading 1 15" xfId="1819" xr:uid="{00000000-0005-0000-0000-000050070000}"/>
    <cellStyle name="Heading 1 16" xfId="1820" xr:uid="{00000000-0005-0000-0000-000051070000}"/>
    <cellStyle name="Heading 1 17" xfId="1821" xr:uid="{00000000-0005-0000-0000-000052070000}"/>
    <cellStyle name="Heading 1 18" xfId="1822" xr:uid="{00000000-0005-0000-0000-000053070000}"/>
    <cellStyle name="Heading 1 2" xfId="100" xr:uid="{00000000-0005-0000-0000-000054070000}"/>
    <cellStyle name="Heading 1 2 2" xfId="1823" xr:uid="{00000000-0005-0000-0000-000055070000}"/>
    <cellStyle name="Heading 1 2 3" xfId="1824" xr:uid="{00000000-0005-0000-0000-000056070000}"/>
    <cellStyle name="Heading 1 2 4" xfId="1825" xr:uid="{00000000-0005-0000-0000-000057070000}"/>
    <cellStyle name="Heading 1 2 5" xfId="1826" xr:uid="{00000000-0005-0000-0000-000058070000}"/>
    <cellStyle name="Heading 1 3" xfId="1827" xr:uid="{00000000-0005-0000-0000-000059070000}"/>
    <cellStyle name="Heading 1 4" xfId="1828" xr:uid="{00000000-0005-0000-0000-00005A070000}"/>
    <cellStyle name="Heading 1 5" xfId="1829" xr:uid="{00000000-0005-0000-0000-00005B070000}"/>
    <cellStyle name="Heading 1 6" xfId="1830" xr:uid="{00000000-0005-0000-0000-00005C070000}"/>
    <cellStyle name="Heading 1 7" xfId="1831" xr:uid="{00000000-0005-0000-0000-00005D070000}"/>
    <cellStyle name="Heading 1 8" xfId="1832" xr:uid="{00000000-0005-0000-0000-00005E070000}"/>
    <cellStyle name="Heading 1 9" xfId="1833" xr:uid="{00000000-0005-0000-0000-00005F070000}"/>
    <cellStyle name="Heading 2 10" xfId="1834" xr:uid="{00000000-0005-0000-0000-000060070000}"/>
    <cellStyle name="Heading 2 11" xfId="1835" xr:uid="{00000000-0005-0000-0000-000061070000}"/>
    <cellStyle name="Heading 2 12" xfId="1836" xr:uid="{00000000-0005-0000-0000-000062070000}"/>
    <cellStyle name="Heading 2 13" xfId="1837" xr:uid="{00000000-0005-0000-0000-000063070000}"/>
    <cellStyle name="Heading 2 14" xfId="1838" xr:uid="{00000000-0005-0000-0000-000064070000}"/>
    <cellStyle name="Heading 2 15" xfId="1839" xr:uid="{00000000-0005-0000-0000-000065070000}"/>
    <cellStyle name="Heading 2 16" xfId="1840" xr:uid="{00000000-0005-0000-0000-000066070000}"/>
    <cellStyle name="Heading 2 17" xfId="1841" xr:uid="{00000000-0005-0000-0000-000067070000}"/>
    <cellStyle name="Heading 2 18" xfId="1842" xr:uid="{00000000-0005-0000-0000-000068070000}"/>
    <cellStyle name="Heading 2 2" xfId="101" xr:uid="{00000000-0005-0000-0000-000069070000}"/>
    <cellStyle name="Heading 2 2 2" xfId="1843" xr:uid="{00000000-0005-0000-0000-00006A070000}"/>
    <cellStyle name="Heading 2 2 3" xfId="1844" xr:uid="{00000000-0005-0000-0000-00006B070000}"/>
    <cellStyle name="Heading 2 2 4" xfId="1845" xr:uid="{00000000-0005-0000-0000-00006C070000}"/>
    <cellStyle name="Heading 2 2 5" xfId="1846" xr:uid="{00000000-0005-0000-0000-00006D070000}"/>
    <cellStyle name="Heading 2 3" xfId="1847" xr:uid="{00000000-0005-0000-0000-00006E070000}"/>
    <cellStyle name="Heading 2 4" xfId="1848" xr:uid="{00000000-0005-0000-0000-00006F070000}"/>
    <cellStyle name="Heading 2 5" xfId="1849" xr:uid="{00000000-0005-0000-0000-000070070000}"/>
    <cellStyle name="Heading 2 6" xfId="1850" xr:uid="{00000000-0005-0000-0000-000071070000}"/>
    <cellStyle name="Heading 2 7" xfId="1851" xr:uid="{00000000-0005-0000-0000-000072070000}"/>
    <cellStyle name="Heading 2 8" xfId="1852" xr:uid="{00000000-0005-0000-0000-000073070000}"/>
    <cellStyle name="Heading 2 9" xfId="1853" xr:uid="{00000000-0005-0000-0000-000074070000}"/>
    <cellStyle name="Heading 3 10" xfId="1854" xr:uid="{00000000-0005-0000-0000-000075070000}"/>
    <cellStyle name="Heading 3 11" xfId="1855" xr:uid="{00000000-0005-0000-0000-000076070000}"/>
    <cellStyle name="Heading 3 12" xfId="1856" xr:uid="{00000000-0005-0000-0000-000077070000}"/>
    <cellStyle name="Heading 3 13" xfId="1857" xr:uid="{00000000-0005-0000-0000-000078070000}"/>
    <cellStyle name="Heading 3 14" xfId="1858" xr:uid="{00000000-0005-0000-0000-000079070000}"/>
    <cellStyle name="Heading 3 15" xfId="1859" xr:uid="{00000000-0005-0000-0000-00007A070000}"/>
    <cellStyle name="Heading 3 16" xfId="1860" xr:uid="{00000000-0005-0000-0000-00007B070000}"/>
    <cellStyle name="Heading 3 17" xfId="1861" xr:uid="{00000000-0005-0000-0000-00007C070000}"/>
    <cellStyle name="Heading 3 18" xfId="1862" xr:uid="{00000000-0005-0000-0000-00007D070000}"/>
    <cellStyle name="Heading 3 2" xfId="102" xr:uid="{00000000-0005-0000-0000-00007E070000}"/>
    <cellStyle name="Heading 3 2 2" xfId="1863" xr:uid="{00000000-0005-0000-0000-00007F070000}"/>
    <cellStyle name="Heading 3 2 3" xfId="1864" xr:uid="{00000000-0005-0000-0000-000080070000}"/>
    <cellStyle name="Heading 3 2 4" xfId="1865" xr:uid="{00000000-0005-0000-0000-000081070000}"/>
    <cellStyle name="Heading 3 2 5" xfId="1866" xr:uid="{00000000-0005-0000-0000-000082070000}"/>
    <cellStyle name="Heading 3 3" xfId="1867" xr:uid="{00000000-0005-0000-0000-000083070000}"/>
    <cellStyle name="Heading 3 4" xfId="1868" xr:uid="{00000000-0005-0000-0000-000084070000}"/>
    <cellStyle name="Heading 3 5" xfId="1869" xr:uid="{00000000-0005-0000-0000-000085070000}"/>
    <cellStyle name="Heading 3 6" xfId="1870" xr:uid="{00000000-0005-0000-0000-000086070000}"/>
    <cellStyle name="Heading 3 7" xfId="1871" xr:uid="{00000000-0005-0000-0000-000087070000}"/>
    <cellStyle name="Heading 3 8" xfId="1872" xr:uid="{00000000-0005-0000-0000-000088070000}"/>
    <cellStyle name="Heading 3 9" xfId="1873" xr:uid="{00000000-0005-0000-0000-000089070000}"/>
    <cellStyle name="Heading 4 10" xfId="1874" xr:uid="{00000000-0005-0000-0000-00008A070000}"/>
    <cellStyle name="Heading 4 11" xfId="1875" xr:uid="{00000000-0005-0000-0000-00008B070000}"/>
    <cellStyle name="Heading 4 12" xfId="1876" xr:uid="{00000000-0005-0000-0000-00008C070000}"/>
    <cellStyle name="Heading 4 13" xfId="1877" xr:uid="{00000000-0005-0000-0000-00008D070000}"/>
    <cellStyle name="Heading 4 14" xfId="1878" xr:uid="{00000000-0005-0000-0000-00008E070000}"/>
    <cellStyle name="Heading 4 15" xfId="1879" xr:uid="{00000000-0005-0000-0000-00008F070000}"/>
    <cellStyle name="Heading 4 16" xfId="1880" xr:uid="{00000000-0005-0000-0000-000090070000}"/>
    <cellStyle name="Heading 4 17" xfId="1881" xr:uid="{00000000-0005-0000-0000-000091070000}"/>
    <cellStyle name="Heading 4 18" xfId="1882" xr:uid="{00000000-0005-0000-0000-000092070000}"/>
    <cellStyle name="Heading 4 2" xfId="103" xr:uid="{00000000-0005-0000-0000-000093070000}"/>
    <cellStyle name="Heading 4 2 2" xfId="1883" xr:uid="{00000000-0005-0000-0000-000094070000}"/>
    <cellStyle name="Heading 4 2 3" xfId="1884" xr:uid="{00000000-0005-0000-0000-000095070000}"/>
    <cellStyle name="Heading 4 2 4" xfId="1885" xr:uid="{00000000-0005-0000-0000-000096070000}"/>
    <cellStyle name="Heading 4 2 5" xfId="1886" xr:uid="{00000000-0005-0000-0000-000097070000}"/>
    <cellStyle name="Heading 4 3" xfId="1887" xr:uid="{00000000-0005-0000-0000-000098070000}"/>
    <cellStyle name="Heading 4 4" xfId="1888" xr:uid="{00000000-0005-0000-0000-000099070000}"/>
    <cellStyle name="Heading 4 5" xfId="1889" xr:uid="{00000000-0005-0000-0000-00009A070000}"/>
    <cellStyle name="Heading 4 6" xfId="1890" xr:uid="{00000000-0005-0000-0000-00009B070000}"/>
    <cellStyle name="Heading 4 7" xfId="1891" xr:uid="{00000000-0005-0000-0000-00009C070000}"/>
    <cellStyle name="Heading 4 8" xfId="1892" xr:uid="{00000000-0005-0000-0000-00009D070000}"/>
    <cellStyle name="Heading 4 9" xfId="1893" xr:uid="{00000000-0005-0000-0000-00009E070000}"/>
    <cellStyle name="Heading No Underline" xfId="4210" xr:uid="{00000000-0005-0000-0000-00009F070000}"/>
    <cellStyle name="Heading With Underline" xfId="4211" xr:uid="{00000000-0005-0000-0000-0000A0070000}"/>
    <cellStyle name="Heading1" xfId="104" xr:uid="{00000000-0005-0000-0000-0000A1070000}"/>
    <cellStyle name="Heading1 2" xfId="4315" xr:uid="{00000000-0005-0000-0000-0000A2070000}"/>
    <cellStyle name="Heading1 3" xfId="4316" xr:uid="{00000000-0005-0000-0000-0000A3070000}"/>
    <cellStyle name="Heading2" xfId="105" xr:uid="{00000000-0005-0000-0000-0000A4070000}"/>
    <cellStyle name="Heading2 2" xfId="4317" xr:uid="{00000000-0005-0000-0000-0000A5070000}"/>
    <cellStyle name="Heading2 3" xfId="4318" xr:uid="{00000000-0005-0000-0000-0000A6070000}"/>
    <cellStyle name="Headline" xfId="4212" xr:uid="{00000000-0005-0000-0000-0000A7070000}"/>
    <cellStyle name="HIGHLIGHT" xfId="106" xr:uid="{00000000-0005-0000-0000-0000A8070000}"/>
    <cellStyle name="Hyperlink" xfId="4663" builtinId="8"/>
    <cellStyle name="Hyperlink 2" xfId="1894" xr:uid="{00000000-0005-0000-0000-0000AA070000}"/>
    <cellStyle name="Hyperlink 3" xfId="4474" xr:uid="{00000000-0005-0000-0000-0000AB070000}"/>
    <cellStyle name="in" xfId="4213" xr:uid="{00000000-0005-0000-0000-0000AC070000}"/>
    <cellStyle name="Indented [0]" xfId="4522" xr:uid="{00000000-0005-0000-0000-0000AD070000}"/>
    <cellStyle name="Indented [2]" xfId="4523" xr:uid="{00000000-0005-0000-0000-0000AE070000}"/>
    <cellStyle name="Indented [4]" xfId="4524" xr:uid="{00000000-0005-0000-0000-0000AF070000}"/>
    <cellStyle name="Indented [6]" xfId="4525" xr:uid="{00000000-0005-0000-0000-0000B0070000}"/>
    <cellStyle name="Input [yellow]" xfId="107" xr:uid="{00000000-0005-0000-0000-0000B1070000}"/>
    <cellStyle name="Input [yellow] 2" xfId="4319" xr:uid="{00000000-0005-0000-0000-0000B2070000}"/>
    <cellStyle name="Input 10" xfId="1895" xr:uid="{00000000-0005-0000-0000-0000B3070000}"/>
    <cellStyle name="Input 11" xfId="1896" xr:uid="{00000000-0005-0000-0000-0000B4070000}"/>
    <cellStyle name="Input 12" xfId="1897" xr:uid="{00000000-0005-0000-0000-0000B5070000}"/>
    <cellStyle name="Input 13" xfId="1898" xr:uid="{00000000-0005-0000-0000-0000B6070000}"/>
    <cellStyle name="Input 14" xfId="1899" xr:uid="{00000000-0005-0000-0000-0000B7070000}"/>
    <cellStyle name="Input 15" xfId="1900" xr:uid="{00000000-0005-0000-0000-0000B8070000}"/>
    <cellStyle name="Input 16" xfId="1901" xr:uid="{00000000-0005-0000-0000-0000B9070000}"/>
    <cellStyle name="Input 17" xfId="1902" xr:uid="{00000000-0005-0000-0000-0000BA070000}"/>
    <cellStyle name="Input 18" xfId="1903" xr:uid="{00000000-0005-0000-0000-0000BB070000}"/>
    <cellStyle name="Input 2" xfId="108" xr:uid="{00000000-0005-0000-0000-0000BC070000}"/>
    <cellStyle name="Input 2 2" xfId="1904" xr:uid="{00000000-0005-0000-0000-0000BD070000}"/>
    <cellStyle name="Input 2 3" xfId="1905" xr:uid="{00000000-0005-0000-0000-0000BE070000}"/>
    <cellStyle name="Input 2 4" xfId="1906" xr:uid="{00000000-0005-0000-0000-0000BF070000}"/>
    <cellStyle name="Input 2 5" xfId="1907" xr:uid="{00000000-0005-0000-0000-0000C0070000}"/>
    <cellStyle name="Input 3" xfId="1908" xr:uid="{00000000-0005-0000-0000-0000C1070000}"/>
    <cellStyle name="Input 4" xfId="1909" xr:uid="{00000000-0005-0000-0000-0000C2070000}"/>
    <cellStyle name="Input 5" xfId="1910" xr:uid="{00000000-0005-0000-0000-0000C3070000}"/>
    <cellStyle name="Input 6" xfId="1911" xr:uid="{00000000-0005-0000-0000-0000C4070000}"/>
    <cellStyle name="Input 7" xfId="1912" xr:uid="{00000000-0005-0000-0000-0000C5070000}"/>
    <cellStyle name="Input 8" xfId="1913" xr:uid="{00000000-0005-0000-0000-0000C6070000}"/>
    <cellStyle name="Input 9" xfId="1914" xr:uid="{00000000-0005-0000-0000-0000C7070000}"/>
    <cellStyle name="Input$0" xfId="4214" xr:uid="{00000000-0005-0000-0000-0000C8070000}"/>
    <cellStyle name="Input$1" xfId="4215" xr:uid="{00000000-0005-0000-0000-0000C9070000}"/>
    <cellStyle name="Input$2" xfId="4216" xr:uid="{00000000-0005-0000-0000-0000CA070000}"/>
    <cellStyle name="Input0" xfId="4217" xr:uid="{00000000-0005-0000-0000-0000CB070000}"/>
    <cellStyle name="Input1" xfId="4218" xr:uid="{00000000-0005-0000-0000-0000CC070000}"/>
    <cellStyle name="Input1x" xfId="4219" xr:uid="{00000000-0005-0000-0000-0000CD070000}"/>
    <cellStyle name="Input2" xfId="4220" xr:uid="{00000000-0005-0000-0000-0000CE070000}"/>
    <cellStyle name="Input2x" xfId="4221" xr:uid="{00000000-0005-0000-0000-0000CF070000}"/>
    <cellStyle name="kwh_centered" xfId="4320" xr:uid="{00000000-0005-0000-0000-0000D0070000}"/>
    <cellStyle name="lborder" xfId="4222" xr:uid="{00000000-0005-0000-0000-0000D1070000}"/>
    <cellStyle name="LeftSubtitle" xfId="4526" xr:uid="{00000000-0005-0000-0000-0000D2070000}"/>
    <cellStyle name="Lines" xfId="109" xr:uid="{00000000-0005-0000-0000-0000D3070000}"/>
    <cellStyle name="Linked Cell 10" xfId="1915" xr:uid="{00000000-0005-0000-0000-0000D4070000}"/>
    <cellStyle name="Linked Cell 11" xfId="1916" xr:uid="{00000000-0005-0000-0000-0000D5070000}"/>
    <cellStyle name="Linked Cell 12" xfId="1917" xr:uid="{00000000-0005-0000-0000-0000D6070000}"/>
    <cellStyle name="Linked Cell 13" xfId="1918" xr:uid="{00000000-0005-0000-0000-0000D7070000}"/>
    <cellStyle name="Linked Cell 14" xfId="1919" xr:uid="{00000000-0005-0000-0000-0000D8070000}"/>
    <cellStyle name="Linked Cell 15" xfId="1920" xr:uid="{00000000-0005-0000-0000-0000D9070000}"/>
    <cellStyle name="Linked Cell 16" xfId="1921" xr:uid="{00000000-0005-0000-0000-0000DA070000}"/>
    <cellStyle name="Linked Cell 17" xfId="1922" xr:uid="{00000000-0005-0000-0000-0000DB070000}"/>
    <cellStyle name="Linked Cell 18" xfId="1923" xr:uid="{00000000-0005-0000-0000-0000DC070000}"/>
    <cellStyle name="Linked Cell 2" xfId="110" xr:uid="{00000000-0005-0000-0000-0000DD070000}"/>
    <cellStyle name="Linked Cell 2 2" xfId="1924" xr:uid="{00000000-0005-0000-0000-0000DE070000}"/>
    <cellStyle name="Linked Cell 2 3" xfId="1925" xr:uid="{00000000-0005-0000-0000-0000DF070000}"/>
    <cellStyle name="Linked Cell 2 4" xfId="1926" xr:uid="{00000000-0005-0000-0000-0000E0070000}"/>
    <cellStyle name="Linked Cell 2 5" xfId="1927" xr:uid="{00000000-0005-0000-0000-0000E1070000}"/>
    <cellStyle name="Linked Cell 3" xfId="1928" xr:uid="{00000000-0005-0000-0000-0000E2070000}"/>
    <cellStyle name="Linked Cell 4" xfId="1929" xr:uid="{00000000-0005-0000-0000-0000E3070000}"/>
    <cellStyle name="Linked Cell 5" xfId="1930" xr:uid="{00000000-0005-0000-0000-0000E4070000}"/>
    <cellStyle name="Linked Cell 6" xfId="1931" xr:uid="{00000000-0005-0000-0000-0000E5070000}"/>
    <cellStyle name="Linked Cell 7" xfId="1932" xr:uid="{00000000-0005-0000-0000-0000E6070000}"/>
    <cellStyle name="Linked Cell 8" xfId="1933" xr:uid="{00000000-0005-0000-0000-0000E7070000}"/>
    <cellStyle name="Linked Cell 9" xfId="1934" xr:uid="{00000000-0005-0000-0000-0000E8070000}"/>
    <cellStyle name="m" xfId="4223" xr:uid="{00000000-0005-0000-0000-0000E9070000}"/>
    <cellStyle name="m1" xfId="4224" xr:uid="{00000000-0005-0000-0000-0000EA070000}"/>
    <cellStyle name="m2" xfId="4225" xr:uid="{00000000-0005-0000-0000-0000EB070000}"/>
    <cellStyle name="m3" xfId="4226" xr:uid="{00000000-0005-0000-0000-0000EC070000}"/>
    <cellStyle name="MEM SSN" xfId="111" xr:uid="{00000000-0005-0000-0000-0000ED070000}"/>
    <cellStyle name="Mine" xfId="112" xr:uid="{00000000-0005-0000-0000-0000EE070000}"/>
    <cellStyle name="mmm-yy" xfId="113" xr:uid="{00000000-0005-0000-0000-0000EF070000}"/>
    <cellStyle name="Moneda [0]_Mex-Braz-Arg" xfId="4321" xr:uid="{00000000-0005-0000-0000-0000F0070000}"/>
    <cellStyle name="Moneda_Mex-Braz-Arg" xfId="4322" xr:uid="{00000000-0005-0000-0000-0000F1070000}"/>
    <cellStyle name="Monétaire [0]_pldt" xfId="114" xr:uid="{00000000-0005-0000-0000-0000F2070000}"/>
    <cellStyle name="Monétaire_pldt" xfId="115" xr:uid="{00000000-0005-0000-0000-0000F3070000}"/>
    <cellStyle name="Multiple" xfId="4527" xr:uid="{00000000-0005-0000-0000-0000F4070000}"/>
    <cellStyle name="Negative" xfId="4227" xr:uid="{00000000-0005-0000-0000-0000F5070000}"/>
    <cellStyle name="Neutral 10" xfId="1935" xr:uid="{00000000-0005-0000-0000-0000F6070000}"/>
    <cellStyle name="Neutral 11" xfId="1936" xr:uid="{00000000-0005-0000-0000-0000F7070000}"/>
    <cellStyle name="Neutral 12" xfId="1937" xr:uid="{00000000-0005-0000-0000-0000F8070000}"/>
    <cellStyle name="Neutral 13" xfId="1938" xr:uid="{00000000-0005-0000-0000-0000F9070000}"/>
    <cellStyle name="Neutral 14" xfId="1939" xr:uid="{00000000-0005-0000-0000-0000FA070000}"/>
    <cellStyle name="Neutral 15" xfId="1940" xr:uid="{00000000-0005-0000-0000-0000FB070000}"/>
    <cellStyle name="Neutral 16" xfId="1941" xr:uid="{00000000-0005-0000-0000-0000FC070000}"/>
    <cellStyle name="Neutral 17" xfId="1942" xr:uid="{00000000-0005-0000-0000-0000FD070000}"/>
    <cellStyle name="Neutral 18" xfId="1943" xr:uid="{00000000-0005-0000-0000-0000FE070000}"/>
    <cellStyle name="Neutral 2" xfId="116" xr:uid="{00000000-0005-0000-0000-0000FF070000}"/>
    <cellStyle name="Neutral 2 2" xfId="1944" xr:uid="{00000000-0005-0000-0000-000000080000}"/>
    <cellStyle name="Neutral 2 3" xfId="1945" xr:uid="{00000000-0005-0000-0000-000001080000}"/>
    <cellStyle name="Neutral 2 4" xfId="1946" xr:uid="{00000000-0005-0000-0000-000002080000}"/>
    <cellStyle name="Neutral 2 5" xfId="1947" xr:uid="{00000000-0005-0000-0000-000003080000}"/>
    <cellStyle name="Neutral 3" xfId="1948" xr:uid="{00000000-0005-0000-0000-000004080000}"/>
    <cellStyle name="Neutral 4" xfId="1949" xr:uid="{00000000-0005-0000-0000-000005080000}"/>
    <cellStyle name="Neutral 5" xfId="1950" xr:uid="{00000000-0005-0000-0000-000006080000}"/>
    <cellStyle name="Neutral 6" xfId="1951" xr:uid="{00000000-0005-0000-0000-000007080000}"/>
    <cellStyle name="Neutral 7" xfId="1952" xr:uid="{00000000-0005-0000-0000-000008080000}"/>
    <cellStyle name="Neutral 8" xfId="1953" xr:uid="{00000000-0005-0000-0000-000009080000}"/>
    <cellStyle name="Neutral 9" xfId="1954" xr:uid="{00000000-0005-0000-0000-00000A080000}"/>
    <cellStyle name="New" xfId="117" xr:uid="{00000000-0005-0000-0000-00000B080000}"/>
    <cellStyle name="No Border" xfId="118" xr:uid="{00000000-0005-0000-0000-00000C080000}"/>
    <cellStyle name="no dec" xfId="119" xr:uid="{00000000-0005-0000-0000-00000D080000}"/>
    <cellStyle name="Normal" xfId="0" builtinId="0"/>
    <cellStyle name="Normal - Style1" xfId="120" xr:uid="{00000000-0005-0000-0000-00000F080000}"/>
    <cellStyle name="Normal - Style1 2" xfId="4323" xr:uid="{00000000-0005-0000-0000-000010080000}"/>
    <cellStyle name="Normal - Style2" xfId="4324" xr:uid="{00000000-0005-0000-0000-000011080000}"/>
    <cellStyle name="Normal 10" xfId="1955" xr:uid="{00000000-0005-0000-0000-000012080000}"/>
    <cellStyle name="Normal 10 10" xfId="1956" xr:uid="{00000000-0005-0000-0000-000013080000}"/>
    <cellStyle name="Normal 10 10 2" xfId="1957" xr:uid="{00000000-0005-0000-0000-000014080000}"/>
    <cellStyle name="Normal 10 10 2 2" xfId="1958" xr:uid="{00000000-0005-0000-0000-000015080000}"/>
    <cellStyle name="Normal 10 10 3" xfId="1959" xr:uid="{00000000-0005-0000-0000-000016080000}"/>
    <cellStyle name="Normal 10 11" xfId="1960" xr:uid="{00000000-0005-0000-0000-000017080000}"/>
    <cellStyle name="Normal 10 11 2" xfId="1961" xr:uid="{00000000-0005-0000-0000-000018080000}"/>
    <cellStyle name="Normal 10 11 2 2" xfId="1962" xr:uid="{00000000-0005-0000-0000-000019080000}"/>
    <cellStyle name="Normal 10 11 3" xfId="1963" xr:uid="{00000000-0005-0000-0000-00001A080000}"/>
    <cellStyle name="Normal 10 12" xfId="1964" xr:uid="{00000000-0005-0000-0000-00001B080000}"/>
    <cellStyle name="Normal 10 12 2" xfId="1965" xr:uid="{00000000-0005-0000-0000-00001C080000}"/>
    <cellStyle name="Normal 10 12 2 2" xfId="1966" xr:uid="{00000000-0005-0000-0000-00001D080000}"/>
    <cellStyle name="Normal 10 12 3" xfId="1967" xr:uid="{00000000-0005-0000-0000-00001E080000}"/>
    <cellStyle name="Normal 10 13" xfId="1968" xr:uid="{00000000-0005-0000-0000-00001F080000}"/>
    <cellStyle name="Normal 10 13 2" xfId="1969" xr:uid="{00000000-0005-0000-0000-000020080000}"/>
    <cellStyle name="Normal 10 13 2 2" xfId="1970" xr:uid="{00000000-0005-0000-0000-000021080000}"/>
    <cellStyle name="Normal 10 13 3" xfId="1971" xr:uid="{00000000-0005-0000-0000-000022080000}"/>
    <cellStyle name="Normal 10 14" xfId="1972" xr:uid="{00000000-0005-0000-0000-000023080000}"/>
    <cellStyle name="Normal 10 14 2" xfId="1973" xr:uid="{00000000-0005-0000-0000-000024080000}"/>
    <cellStyle name="Normal 10 14 2 2" xfId="1974" xr:uid="{00000000-0005-0000-0000-000025080000}"/>
    <cellStyle name="Normal 10 14 3" xfId="1975" xr:uid="{00000000-0005-0000-0000-000026080000}"/>
    <cellStyle name="Normal 10 15" xfId="1976" xr:uid="{00000000-0005-0000-0000-000027080000}"/>
    <cellStyle name="Normal 10 15 2" xfId="1977" xr:uid="{00000000-0005-0000-0000-000028080000}"/>
    <cellStyle name="Normal 10 15 2 2" xfId="1978" xr:uid="{00000000-0005-0000-0000-000029080000}"/>
    <cellStyle name="Normal 10 15 3" xfId="1979" xr:uid="{00000000-0005-0000-0000-00002A080000}"/>
    <cellStyle name="Normal 10 16" xfId="1980" xr:uid="{00000000-0005-0000-0000-00002B080000}"/>
    <cellStyle name="Normal 10 16 2" xfId="1981" xr:uid="{00000000-0005-0000-0000-00002C080000}"/>
    <cellStyle name="Normal 10 17" xfId="1982" xr:uid="{00000000-0005-0000-0000-00002D080000}"/>
    <cellStyle name="Normal 10 17 2" xfId="1983" xr:uid="{00000000-0005-0000-0000-00002E080000}"/>
    <cellStyle name="Normal 10 18" xfId="1984" xr:uid="{00000000-0005-0000-0000-00002F080000}"/>
    <cellStyle name="Normal 10 2" xfId="1985" xr:uid="{00000000-0005-0000-0000-000030080000}"/>
    <cellStyle name="Normal 10 2 2" xfId="1986" xr:uid="{00000000-0005-0000-0000-000031080000}"/>
    <cellStyle name="Normal 10 2 2 2" xfId="1987" xr:uid="{00000000-0005-0000-0000-000032080000}"/>
    <cellStyle name="Normal 10 2 3" xfId="1988" xr:uid="{00000000-0005-0000-0000-000033080000}"/>
    <cellStyle name="Normal 10 2 4" xfId="4528" xr:uid="{00000000-0005-0000-0000-000034080000}"/>
    <cellStyle name="Normal 10 3" xfId="1989" xr:uid="{00000000-0005-0000-0000-000035080000}"/>
    <cellStyle name="Normal 10 3 2" xfId="1990" xr:uid="{00000000-0005-0000-0000-000036080000}"/>
    <cellStyle name="Normal 10 3 2 2" xfId="1991" xr:uid="{00000000-0005-0000-0000-000037080000}"/>
    <cellStyle name="Normal 10 3 3" xfId="1992" xr:uid="{00000000-0005-0000-0000-000038080000}"/>
    <cellStyle name="Normal 10 3 4" xfId="4676" xr:uid="{00000000-0005-0000-0000-000039080000}"/>
    <cellStyle name="Normal 10 4" xfId="1993" xr:uid="{00000000-0005-0000-0000-00003A080000}"/>
    <cellStyle name="Normal 10 4 2" xfId="1994" xr:uid="{00000000-0005-0000-0000-00003B080000}"/>
    <cellStyle name="Normal 10 4 2 2" xfId="1995" xr:uid="{00000000-0005-0000-0000-00003C080000}"/>
    <cellStyle name="Normal 10 4 3" xfId="1996" xr:uid="{00000000-0005-0000-0000-00003D080000}"/>
    <cellStyle name="Normal 10 4 4" xfId="4679" xr:uid="{00000000-0005-0000-0000-00003E080000}"/>
    <cellStyle name="Normal 10 5" xfId="1997" xr:uid="{00000000-0005-0000-0000-00003F080000}"/>
    <cellStyle name="Normal 10 5 2" xfId="1998" xr:uid="{00000000-0005-0000-0000-000040080000}"/>
    <cellStyle name="Normal 10 5 2 2" xfId="1999" xr:uid="{00000000-0005-0000-0000-000041080000}"/>
    <cellStyle name="Normal 10 5 3" xfId="2000" xr:uid="{00000000-0005-0000-0000-000042080000}"/>
    <cellStyle name="Normal 10 6" xfId="2001" xr:uid="{00000000-0005-0000-0000-000043080000}"/>
    <cellStyle name="Normal 10 6 2" xfId="2002" xr:uid="{00000000-0005-0000-0000-000044080000}"/>
    <cellStyle name="Normal 10 6 2 2" xfId="2003" xr:uid="{00000000-0005-0000-0000-000045080000}"/>
    <cellStyle name="Normal 10 6 3" xfId="2004" xr:uid="{00000000-0005-0000-0000-000046080000}"/>
    <cellStyle name="Normal 10 7" xfId="2005" xr:uid="{00000000-0005-0000-0000-000047080000}"/>
    <cellStyle name="Normal 10 7 2" xfId="2006" xr:uid="{00000000-0005-0000-0000-000048080000}"/>
    <cellStyle name="Normal 10 7 2 2" xfId="2007" xr:uid="{00000000-0005-0000-0000-000049080000}"/>
    <cellStyle name="Normal 10 7 3" xfId="2008" xr:uid="{00000000-0005-0000-0000-00004A080000}"/>
    <cellStyle name="Normal 10 8" xfId="2009" xr:uid="{00000000-0005-0000-0000-00004B080000}"/>
    <cellStyle name="Normal 10 8 2" xfId="2010" xr:uid="{00000000-0005-0000-0000-00004C080000}"/>
    <cellStyle name="Normal 10 8 2 2" xfId="2011" xr:uid="{00000000-0005-0000-0000-00004D080000}"/>
    <cellStyle name="Normal 10 8 3" xfId="2012" xr:uid="{00000000-0005-0000-0000-00004E080000}"/>
    <cellStyle name="Normal 10 9" xfId="2013" xr:uid="{00000000-0005-0000-0000-00004F080000}"/>
    <cellStyle name="Normal 10 9 2" xfId="2014" xr:uid="{00000000-0005-0000-0000-000050080000}"/>
    <cellStyle name="Normal 10 9 2 2" xfId="2015" xr:uid="{00000000-0005-0000-0000-000051080000}"/>
    <cellStyle name="Normal 10 9 3" xfId="2016" xr:uid="{00000000-0005-0000-0000-000052080000}"/>
    <cellStyle name="Normal 11" xfId="2017" xr:uid="{00000000-0005-0000-0000-000053080000}"/>
    <cellStyle name="Normal 11 10" xfId="2018" xr:uid="{00000000-0005-0000-0000-000054080000}"/>
    <cellStyle name="Normal 11 10 2" xfId="2019" xr:uid="{00000000-0005-0000-0000-000055080000}"/>
    <cellStyle name="Normal 11 10 2 2" xfId="2020" xr:uid="{00000000-0005-0000-0000-000056080000}"/>
    <cellStyle name="Normal 11 10 3" xfId="2021" xr:uid="{00000000-0005-0000-0000-000057080000}"/>
    <cellStyle name="Normal 11 11" xfId="2022" xr:uid="{00000000-0005-0000-0000-000058080000}"/>
    <cellStyle name="Normal 11 11 2" xfId="2023" xr:uid="{00000000-0005-0000-0000-000059080000}"/>
    <cellStyle name="Normal 11 11 2 2" xfId="2024" xr:uid="{00000000-0005-0000-0000-00005A080000}"/>
    <cellStyle name="Normal 11 11 3" xfId="2025" xr:uid="{00000000-0005-0000-0000-00005B080000}"/>
    <cellStyle name="Normal 11 12" xfId="2026" xr:uid="{00000000-0005-0000-0000-00005C080000}"/>
    <cellStyle name="Normal 11 12 2" xfId="2027" xr:uid="{00000000-0005-0000-0000-00005D080000}"/>
    <cellStyle name="Normal 11 12 2 2" xfId="2028" xr:uid="{00000000-0005-0000-0000-00005E080000}"/>
    <cellStyle name="Normal 11 12 3" xfId="2029" xr:uid="{00000000-0005-0000-0000-00005F080000}"/>
    <cellStyle name="Normal 11 13" xfId="2030" xr:uid="{00000000-0005-0000-0000-000060080000}"/>
    <cellStyle name="Normal 11 13 2" xfId="2031" xr:uid="{00000000-0005-0000-0000-000061080000}"/>
    <cellStyle name="Normal 11 13 2 2" xfId="2032" xr:uid="{00000000-0005-0000-0000-000062080000}"/>
    <cellStyle name="Normal 11 13 3" xfId="2033" xr:uid="{00000000-0005-0000-0000-000063080000}"/>
    <cellStyle name="Normal 11 14" xfId="2034" xr:uid="{00000000-0005-0000-0000-000064080000}"/>
    <cellStyle name="Normal 11 14 2" xfId="2035" xr:uid="{00000000-0005-0000-0000-000065080000}"/>
    <cellStyle name="Normal 11 14 2 2" xfId="2036" xr:uid="{00000000-0005-0000-0000-000066080000}"/>
    <cellStyle name="Normal 11 14 3" xfId="2037" xr:uid="{00000000-0005-0000-0000-000067080000}"/>
    <cellStyle name="Normal 11 15" xfId="2038" xr:uid="{00000000-0005-0000-0000-000068080000}"/>
    <cellStyle name="Normal 11 15 2" xfId="2039" xr:uid="{00000000-0005-0000-0000-000069080000}"/>
    <cellStyle name="Normal 11 15 2 2" xfId="2040" xr:uid="{00000000-0005-0000-0000-00006A080000}"/>
    <cellStyle name="Normal 11 15 3" xfId="2041" xr:uid="{00000000-0005-0000-0000-00006B080000}"/>
    <cellStyle name="Normal 11 16" xfId="2042" xr:uid="{00000000-0005-0000-0000-00006C080000}"/>
    <cellStyle name="Normal 11 16 2" xfId="2043" xr:uid="{00000000-0005-0000-0000-00006D080000}"/>
    <cellStyle name="Normal 11 17" xfId="2044" xr:uid="{00000000-0005-0000-0000-00006E080000}"/>
    <cellStyle name="Normal 11 2" xfId="2045" xr:uid="{00000000-0005-0000-0000-00006F080000}"/>
    <cellStyle name="Normal 11 2 2" xfId="2046" xr:uid="{00000000-0005-0000-0000-000070080000}"/>
    <cellStyle name="Normal 11 2 2 2" xfId="2047" xr:uid="{00000000-0005-0000-0000-000071080000}"/>
    <cellStyle name="Normal 11 2 3" xfId="2048" xr:uid="{00000000-0005-0000-0000-000072080000}"/>
    <cellStyle name="Normal 11 3" xfId="2049" xr:uid="{00000000-0005-0000-0000-000073080000}"/>
    <cellStyle name="Normal 11 3 2" xfId="2050" xr:uid="{00000000-0005-0000-0000-000074080000}"/>
    <cellStyle name="Normal 11 3 2 2" xfId="2051" xr:uid="{00000000-0005-0000-0000-000075080000}"/>
    <cellStyle name="Normal 11 3 3" xfId="2052" xr:uid="{00000000-0005-0000-0000-000076080000}"/>
    <cellStyle name="Normal 11 4" xfId="2053" xr:uid="{00000000-0005-0000-0000-000077080000}"/>
    <cellStyle name="Normal 11 4 2" xfId="2054" xr:uid="{00000000-0005-0000-0000-000078080000}"/>
    <cellStyle name="Normal 11 4 2 2" xfId="2055" xr:uid="{00000000-0005-0000-0000-000079080000}"/>
    <cellStyle name="Normal 11 4 3" xfId="2056" xr:uid="{00000000-0005-0000-0000-00007A080000}"/>
    <cellStyle name="Normal 11 5" xfId="2057" xr:uid="{00000000-0005-0000-0000-00007B080000}"/>
    <cellStyle name="Normal 11 5 2" xfId="2058" xr:uid="{00000000-0005-0000-0000-00007C080000}"/>
    <cellStyle name="Normal 11 5 2 2" xfId="2059" xr:uid="{00000000-0005-0000-0000-00007D080000}"/>
    <cellStyle name="Normal 11 5 3" xfId="2060" xr:uid="{00000000-0005-0000-0000-00007E080000}"/>
    <cellStyle name="Normal 11 6" xfId="2061" xr:uid="{00000000-0005-0000-0000-00007F080000}"/>
    <cellStyle name="Normal 11 6 2" xfId="2062" xr:uid="{00000000-0005-0000-0000-000080080000}"/>
    <cellStyle name="Normal 11 6 2 2" xfId="2063" xr:uid="{00000000-0005-0000-0000-000081080000}"/>
    <cellStyle name="Normal 11 6 3" xfId="2064" xr:uid="{00000000-0005-0000-0000-000082080000}"/>
    <cellStyle name="Normal 11 7" xfId="2065" xr:uid="{00000000-0005-0000-0000-000083080000}"/>
    <cellStyle name="Normal 11 7 2" xfId="2066" xr:uid="{00000000-0005-0000-0000-000084080000}"/>
    <cellStyle name="Normal 11 7 2 2" xfId="2067" xr:uid="{00000000-0005-0000-0000-000085080000}"/>
    <cellStyle name="Normal 11 7 3" xfId="2068" xr:uid="{00000000-0005-0000-0000-000086080000}"/>
    <cellStyle name="Normal 11 8" xfId="2069" xr:uid="{00000000-0005-0000-0000-000087080000}"/>
    <cellStyle name="Normal 11 8 2" xfId="2070" xr:uid="{00000000-0005-0000-0000-000088080000}"/>
    <cellStyle name="Normal 11 8 2 2" xfId="2071" xr:uid="{00000000-0005-0000-0000-000089080000}"/>
    <cellStyle name="Normal 11 8 3" xfId="2072" xr:uid="{00000000-0005-0000-0000-00008A080000}"/>
    <cellStyle name="Normal 11 9" xfId="2073" xr:uid="{00000000-0005-0000-0000-00008B080000}"/>
    <cellStyle name="Normal 11 9 2" xfId="2074" xr:uid="{00000000-0005-0000-0000-00008C080000}"/>
    <cellStyle name="Normal 11 9 2 2" xfId="2075" xr:uid="{00000000-0005-0000-0000-00008D080000}"/>
    <cellStyle name="Normal 11 9 3" xfId="2076" xr:uid="{00000000-0005-0000-0000-00008E080000}"/>
    <cellStyle name="Normal 115 2" xfId="4674" xr:uid="{00000000-0005-0000-0000-00008F080000}"/>
    <cellStyle name="Normal 12" xfId="2077" xr:uid="{00000000-0005-0000-0000-000090080000}"/>
    <cellStyle name="Normal 12 10" xfId="2078" xr:uid="{00000000-0005-0000-0000-000091080000}"/>
    <cellStyle name="Normal 12 10 2" xfId="2079" xr:uid="{00000000-0005-0000-0000-000092080000}"/>
    <cellStyle name="Normal 12 10 2 2" xfId="2080" xr:uid="{00000000-0005-0000-0000-000093080000}"/>
    <cellStyle name="Normal 12 10 3" xfId="2081" xr:uid="{00000000-0005-0000-0000-000094080000}"/>
    <cellStyle name="Normal 12 11" xfId="2082" xr:uid="{00000000-0005-0000-0000-000095080000}"/>
    <cellStyle name="Normal 12 11 2" xfId="2083" xr:uid="{00000000-0005-0000-0000-000096080000}"/>
    <cellStyle name="Normal 12 11 2 2" xfId="2084" xr:uid="{00000000-0005-0000-0000-000097080000}"/>
    <cellStyle name="Normal 12 11 3" xfId="2085" xr:uid="{00000000-0005-0000-0000-000098080000}"/>
    <cellStyle name="Normal 12 12" xfId="2086" xr:uid="{00000000-0005-0000-0000-000099080000}"/>
    <cellStyle name="Normal 12 12 2" xfId="2087" xr:uid="{00000000-0005-0000-0000-00009A080000}"/>
    <cellStyle name="Normal 12 12 2 2" xfId="2088" xr:uid="{00000000-0005-0000-0000-00009B080000}"/>
    <cellStyle name="Normal 12 12 3" xfId="2089" xr:uid="{00000000-0005-0000-0000-00009C080000}"/>
    <cellStyle name="Normal 12 13" xfId="2090" xr:uid="{00000000-0005-0000-0000-00009D080000}"/>
    <cellStyle name="Normal 12 13 2" xfId="2091" xr:uid="{00000000-0005-0000-0000-00009E080000}"/>
    <cellStyle name="Normal 12 13 2 2" xfId="2092" xr:uid="{00000000-0005-0000-0000-00009F080000}"/>
    <cellStyle name="Normal 12 13 3" xfId="2093" xr:uid="{00000000-0005-0000-0000-0000A0080000}"/>
    <cellStyle name="Normal 12 14" xfId="2094" xr:uid="{00000000-0005-0000-0000-0000A1080000}"/>
    <cellStyle name="Normal 12 14 2" xfId="2095" xr:uid="{00000000-0005-0000-0000-0000A2080000}"/>
    <cellStyle name="Normal 12 14 2 2" xfId="2096" xr:uid="{00000000-0005-0000-0000-0000A3080000}"/>
    <cellStyle name="Normal 12 14 3" xfId="2097" xr:uid="{00000000-0005-0000-0000-0000A4080000}"/>
    <cellStyle name="Normal 12 14 3 2" xfId="2098" xr:uid="{00000000-0005-0000-0000-0000A5080000}"/>
    <cellStyle name="Normal 12 14 4" xfId="2099" xr:uid="{00000000-0005-0000-0000-0000A6080000}"/>
    <cellStyle name="Normal 12 15" xfId="2100" xr:uid="{00000000-0005-0000-0000-0000A7080000}"/>
    <cellStyle name="Normal 12 15 2" xfId="2101" xr:uid="{00000000-0005-0000-0000-0000A8080000}"/>
    <cellStyle name="Normal 12 15 2 2" xfId="2102" xr:uid="{00000000-0005-0000-0000-0000A9080000}"/>
    <cellStyle name="Normal 12 15 3" xfId="2103" xr:uid="{00000000-0005-0000-0000-0000AA080000}"/>
    <cellStyle name="Normal 12 2" xfId="2104" xr:uid="{00000000-0005-0000-0000-0000AB080000}"/>
    <cellStyle name="Normal 12 2 2" xfId="2105" xr:uid="{00000000-0005-0000-0000-0000AC080000}"/>
    <cellStyle name="Normal 12 2 2 2" xfId="2106" xr:uid="{00000000-0005-0000-0000-0000AD080000}"/>
    <cellStyle name="Normal 12 2 3" xfId="2107" xr:uid="{00000000-0005-0000-0000-0000AE080000}"/>
    <cellStyle name="Normal 12 2 4" xfId="4675" xr:uid="{00000000-0005-0000-0000-0000AF080000}"/>
    <cellStyle name="Normal 12 2 4 2" xfId="4693" xr:uid="{00000000-0005-0000-0000-0000B0080000}"/>
    <cellStyle name="Normal 12 3" xfId="2108" xr:uid="{00000000-0005-0000-0000-0000B1080000}"/>
    <cellStyle name="Normal 12 3 2" xfId="2109" xr:uid="{00000000-0005-0000-0000-0000B2080000}"/>
    <cellStyle name="Normal 12 3 2 2" xfId="2110" xr:uid="{00000000-0005-0000-0000-0000B3080000}"/>
    <cellStyle name="Normal 12 3 3" xfId="2111" xr:uid="{00000000-0005-0000-0000-0000B4080000}"/>
    <cellStyle name="Normal 12 4" xfId="2112" xr:uid="{00000000-0005-0000-0000-0000B5080000}"/>
    <cellStyle name="Normal 12 4 2" xfId="2113" xr:uid="{00000000-0005-0000-0000-0000B6080000}"/>
    <cellStyle name="Normal 12 4 2 2" xfId="2114" xr:uid="{00000000-0005-0000-0000-0000B7080000}"/>
    <cellStyle name="Normal 12 4 3" xfId="2115" xr:uid="{00000000-0005-0000-0000-0000B8080000}"/>
    <cellStyle name="Normal 12 5" xfId="2116" xr:uid="{00000000-0005-0000-0000-0000B9080000}"/>
    <cellStyle name="Normal 12 5 2" xfId="2117" xr:uid="{00000000-0005-0000-0000-0000BA080000}"/>
    <cellStyle name="Normal 12 5 2 2" xfId="2118" xr:uid="{00000000-0005-0000-0000-0000BB080000}"/>
    <cellStyle name="Normal 12 5 3" xfId="2119" xr:uid="{00000000-0005-0000-0000-0000BC080000}"/>
    <cellStyle name="Normal 12 6" xfId="2120" xr:uid="{00000000-0005-0000-0000-0000BD080000}"/>
    <cellStyle name="Normal 12 6 2" xfId="2121" xr:uid="{00000000-0005-0000-0000-0000BE080000}"/>
    <cellStyle name="Normal 12 6 2 2" xfId="2122" xr:uid="{00000000-0005-0000-0000-0000BF080000}"/>
    <cellStyle name="Normal 12 6 3" xfId="2123" xr:uid="{00000000-0005-0000-0000-0000C0080000}"/>
    <cellStyle name="Normal 12 7" xfId="2124" xr:uid="{00000000-0005-0000-0000-0000C1080000}"/>
    <cellStyle name="Normal 12 7 2" xfId="2125" xr:uid="{00000000-0005-0000-0000-0000C2080000}"/>
    <cellStyle name="Normal 12 7 2 2" xfId="2126" xr:uid="{00000000-0005-0000-0000-0000C3080000}"/>
    <cellStyle name="Normal 12 7 3" xfId="2127" xr:uid="{00000000-0005-0000-0000-0000C4080000}"/>
    <cellStyle name="Normal 12 8" xfId="2128" xr:uid="{00000000-0005-0000-0000-0000C5080000}"/>
    <cellStyle name="Normal 12 8 2" xfId="2129" xr:uid="{00000000-0005-0000-0000-0000C6080000}"/>
    <cellStyle name="Normal 12 8 2 2" xfId="2130" xr:uid="{00000000-0005-0000-0000-0000C7080000}"/>
    <cellStyle name="Normal 12 8 3" xfId="2131" xr:uid="{00000000-0005-0000-0000-0000C8080000}"/>
    <cellStyle name="Normal 12 9" xfId="2132" xr:uid="{00000000-0005-0000-0000-0000C9080000}"/>
    <cellStyle name="Normal 12 9 2" xfId="2133" xr:uid="{00000000-0005-0000-0000-0000CA080000}"/>
    <cellStyle name="Normal 12 9 2 2" xfId="2134" xr:uid="{00000000-0005-0000-0000-0000CB080000}"/>
    <cellStyle name="Normal 12 9 3" xfId="2135" xr:uid="{00000000-0005-0000-0000-0000CC080000}"/>
    <cellStyle name="Normal 13" xfId="2136" xr:uid="{00000000-0005-0000-0000-0000CD080000}"/>
    <cellStyle name="Normal 13 2" xfId="2137" xr:uid="{00000000-0005-0000-0000-0000CE080000}"/>
    <cellStyle name="Normal 13 2 2" xfId="4680" xr:uid="{00000000-0005-0000-0000-0000CF080000}"/>
    <cellStyle name="Normal 13 2 2 2" xfId="4690" xr:uid="{00000000-0005-0000-0000-0000D0080000}"/>
    <cellStyle name="Normal 13 3" xfId="4325" xr:uid="{00000000-0005-0000-0000-0000D1080000}"/>
    <cellStyle name="Normal 14" xfId="2138" xr:uid="{00000000-0005-0000-0000-0000D2080000}"/>
    <cellStyle name="Normal 14 10" xfId="2139" xr:uid="{00000000-0005-0000-0000-0000D3080000}"/>
    <cellStyle name="Normal 14 10 2" xfId="2140" xr:uid="{00000000-0005-0000-0000-0000D4080000}"/>
    <cellStyle name="Normal 14 10 2 2" xfId="2141" xr:uid="{00000000-0005-0000-0000-0000D5080000}"/>
    <cellStyle name="Normal 14 10 3" xfId="2142" xr:uid="{00000000-0005-0000-0000-0000D6080000}"/>
    <cellStyle name="Normal 14 11" xfId="2143" xr:uid="{00000000-0005-0000-0000-0000D7080000}"/>
    <cellStyle name="Normal 14 11 2" xfId="2144" xr:uid="{00000000-0005-0000-0000-0000D8080000}"/>
    <cellStyle name="Normal 14 11 2 2" xfId="2145" xr:uid="{00000000-0005-0000-0000-0000D9080000}"/>
    <cellStyle name="Normal 14 11 3" xfId="2146" xr:uid="{00000000-0005-0000-0000-0000DA080000}"/>
    <cellStyle name="Normal 14 12" xfId="2147" xr:uid="{00000000-0005-0000-0000-0000DB080000}"/>
    <cellStyle name="Normal 14 12 2" xfId="2148" xr:uid="{00000000-0005-0000-0000-0000DC080000}"/>
    <cellStyle name="Normal 14 12 2 2" xfId="2149" xr:uid="{00000000-0005-0000-0000-0000DD080000}"/>
    <cellStyle name="Normal 14 12 3" xfId="2150" xr:uid="{00000000-0005-0000-0000-0000DE080000}"/>
    <cellStyle name="Normal 14 13" xfId="2151" xr:uid="{00000000-0005-0000-0000-0000DF080000}"/>
    <cellStyle name="Normal 14 13 2" xfId="2152" xr:uid="{00000000-0005-0000-0000-0000E0080000}"/>
    <cellStyle name="Normal 14 13 2 2" xfId="2153" xr:uid="{00000000-0005-0000-0000-0000E1080000}"/>
    <cellStyle name="Normal 14 13 3" xfId="2154" xr:uid="{00000000-0005-0000-0000-0000E2080000}"/>
    <cellStyle name="Normal 14 14" xfId="2155" xr:uid="{00000000-0005-0000-0000-0000E3080000}"/>
    <cellStyle name="Normal 14 14 2" xfId="2156" xr:uid="{00000000-0005-0000-0000-0000E4080000}"/>
    <cellStyle name="Normal 14 14 2 2" xfId="2157" xr:uid="{00000000-0005-0000-0000-0000E5080000}"/>
    <cellStyle name="Normal 14 14 3" xfId="2158" xr:uid="{00000000-0005-0000-0000-0000E6080000}"/>
    <cellStyle name="Normal 14 15" xfId="2159" xr:uid="{00000000-0005-0000-0000-0000E7080000}"/>
    <cellStyle name="Normal 14 15 2" xfId="2160" xr:uid="{00000000-0005-0000-0000-0000E8080000}"/>
    <cellStyle name="Normal 14 15 2 2" xfId="2161" xr:uid="{00000000-0005-0000-0000-0000E9080000}"/>
    <cellStyle name="Normal 14 15 3" xfId="2162" xr:uid="{00000000-0005-0000-0000-0000EA080000}"/>
    <cellStyle name="Normal 14 15 3 2" xfId="2163" xr:uid="{00000000-0005-0000-0000-0000EB080000}"/>
    <cellStyle name="Normal 14 15 4" xfId="2164" xr:uid="{00000000-0005-0000-0000-0000EC080000}"/>
    <cellStyle name="Normal 14 16" xfId="2165" xr:uid="{00000000-0005-0000-0000-0000ED080000}"/>
    <cellStyle name="Normal 14 16 2" xfId="2166" xr:uid="{00000000-0005-0000-0000-0000EE080000}"/>
    <cellStyle name="Normal 14 17" xfId="2167" xr:uid="{00000000-0005-0000-0000-0000EF080000}"/>
    <cellStyle name="Normal 14 17 2" xfId="2168" xr:uid="{00000000-0005-0000-0000-0000F0080000}"/>
    <cellStyle name="Normal 14 18" xfId="2169" xr:uid="{00000000-0005-0000-0000-0000F1080000}"/>
    <cellStyle name="Normal 14 18 2" xfId="2170" xr:uid="{00000000-0005-0000-0000-0000F2080000}"/>
    <cellStyle name="Normal 14 19" xfId="2171" xr:uid="{00000000-0005-0000-0000-0000F3080000}"/>
    <cellStyle name="Normal 14 19 2" xfId="2172" xr:uid="{00000000-0005-0000-0000-0000F4080000}"/>
    <cellStyle name="Normal 14 2" xfId="2173" xr:uid="{00000000-0005-0000-0000-0000F5080000}"/>
    <cellStyle name="Normal 14 2 2" xfId="2174" xr:uid="{00000000-0005-0000-0000-0000F6080000}"/>
    <cellStyle name="Normal 14 2 2 2" xfId="2175" xr:uid="{00000000-0005-0000-0000-0000F7080000}"/>
    <cellStyle name="Normal 14 2 3" xfId="2176" xr:uid="{00000000-0005-0000-0000-0000F8080000}"/>
    <cellStyle name="Normal 14 20" xfId="2177" xr:uid="{00000000-0005-0000-0000-0000F9080000}"/>
    <cellStyle name="Normal 14 3" xfId="2178" xr:uid="{00000000-0005-0000-0000-0000FA080000}"/>
    <cellStyle name="Normal 14 3 2" xfId="2179" xr:uid="{00000000-0005-0000-0000-0000FB080000}"/>
    <cellStyle name="Normal 14 3 2 2" xfId="2180" xr:uid="{00000000-0005-0000-0000-0000FC080000}"/>
    <cellStyle name="Normal 14 3 3" xfId="2181" xr:uid="{00000000-0005-0000-0000-0000FD080000}"/>
    <cellStyle name="Normal 14 4" xfId="2182" xr:uid="{00000000-0005-0000-0000-0000FE080000}"/>
    <cellStyle name="Normal 14 4 2" xfId="2183" xr:uid="{00000000-0005-0000-0000-0000FF080000}"/>
    <cellStyle name="Normal 14 4 2 2" xfId="2184" xr:uid="{00000000-0005-0000-0000-000000090000}"/>
    <cellStyle name="Normal 14 4 3" xfId="2185" xr:uid="{00000000-0005-0000-0000-000001090000}"/>
    <cellStyle name="Normal 14 5" xfId="2186" xr:uid="{00000000-0005-0000-0000-000002090000}"/>
    <cellStyle name="Normal 14 5 2" xfId="2187" xr:uid="{00000000-0005-0000-0000-000003090000}"/>
    <cellStyle name="Normal 14 5 2 2" xfId="2188" xr:uid="{00000000-0005-0000-0000-000004090000}"/>
    <cellStyle name="Normal 14 5 3" xfId="2189" xr:uid="{00000000-0005-0000-0000-000005090000}"/>
    <cellStyle name="Normal 14 6" xfId="2190" xr:uid="{00000000-0005-0000-0000-000006090000}"/>
    <cellStyle name="Normal 14 6 2" xfId="2191" xr:uid="{00000000-0005-0000-0000-000007090000}"/>
    <cellStyle name="Normal 14 6 2 2" xfId="2192" xr:uid="{00000000-0005-0000-0000-000008090000}"/>
    <cellStyle name="Normal 14 6 3" xfId="2193" xr:uid="{00000000-0005-0000-0000-000009090000}"/>
    <cellStyle name="Normal 14 7" xfId="2194" xr:uid="{00000000-0005-0000-0000-00000A090000}"/>
    <cellStyle name="Normal 14 7 2" xfId="2195" xr:uid="{00000000-0005-0000-0000-00000B090000}"/>
    <cellStyle name="Normal 14 7 2 2" xfId="2196" xr:uid="{00000000-0005-0000-0000-00000C090000}"/>
    <cellStyle name="Normal 14 7 3" xfId="2197" xr:uid="{00000000-0005-0000-0000-00000D090000}"/>
    <cellStyle name="Normal 14 8" xfId="2198" xr:uid="{00000000-0005-0000-0000-00000E090000}"/>
    <cellStyle name="Normal 14 8 2" xfId="2199" xr:uid="{00000000-0005-0000-0000-00000F090000}"/>
    <cellStyle name="Normal 14 8 2 2" xfId="2200" xr:uid="{00000000-0005-0000-0000-000010090000}"/>
    <cellStyle name="Normal 14 8 3" xfId="2201" xr:uid="{00000000-0005-0000-0000-000011090000}"/>
    <cellStyle name="Normal 14 9" xfId="2202" xr:uid="{00000000-0005-0000-0000-000012090000}"/>
    <cellStyle name="Normal 14 9 2" xfId="2203" xr:uid="{00000000-0005-0000-0000-000013090000}"/>
    <cellStyle name="Normal 14 9 2 2" xfId="2204" xr:uid="{00000000-0005-0000-0000-000014090000}"/>
    <cellStyle name="Normal 14 9 3" xfId="2205" xr:uid="{00000000-0005-0000-0000-000015090000}"/>
    <cellStyle name="Normal 15" xfId="2206" xr:uid="{00000000-0005-0000-0000-000016090000}"/>
    <cellStyle name="Normal 15 2" xfId="4686" xr:uid="{00000000-0005-0000-0000-000017090000}"/>
    <cellStyle name="Normal 15 2 2" xfId="4687" xr:uid="{00000000-0005-0000-0000-000018090000}"/>
    <cellStyle name="Normal 16" xfId="2207" xr:uid="{00000000-0005-0000-0000-000019090000}"/>
    <cellStyle name="Normal 16 10" xfId="2208" xr:uid="{00000000-0005-0000-0000-00001A090000}"/>
    <cellStyle name="Normal 16 10 2" xfId="2209" xr:uid="{00000000-0005-0000-0000-00001B090000}"/>
    <cellStyle name="Normal 16 10 2 2" xfId="2210" xr:uid="{00000000-0005-0000-0000-00001C090000}"/>
    <cellStyle name="Normal 16 10 3" xfId="2211" xr:uid="{00000000-0005-0000-0000-00001D090000}"/>
    <cellStyle name="Normal 16 11" xfId="2212" xr:uid="{00000000-0005-0000-0000-00001E090000}"/>
    <cellStyle name="Normal 16 11 2" xfId="2213" xr:uid="{00000000-0005-0000-0000-00001F090000}"/>
    <cellStyle name="Normal 16 11 2 2" xfId="2214" xr:uid="{00000000-0005-0000-0000-000020090000}"/>
    <cellStyle name="Normal 16 11 3" xfId="2215" xr:uid="{00000000-0005-0000-0000-000021090000}"/>
    <cellStyle name="Normal 16 12" xfId="2216" xr:uid="{00000000-0005-0000-0000-000022090000}"/>
    <cellStyle name="Normal 16 12 2" xfId="2217" xr:uid="{00000000-0005-0000-0000-000023090000}"/>
    <cellStyle name="Normal 16 12 2 2" xfId="2218" xr:uid="{00000000-0005-0000-0000-000024090000}"/>
    <cellStyle name="Normal 16 12 3" xfId="2219" xr:uid="{00000000-0005-0000-0000-000025090000}"/>
    <cellStyle name="Normal 16 13" xfId="2220" xr:uid="{00000000-0005-0000-0000-000026090000}"/>
    <cellStyle name="Normal 16 13 2" xfId="2221" xr:uid="{00000000-0005-0000-0000-000027090000}"/>
    <cellStyle name="Normal 16 13 2 2" xfId="2222" xr:uid="{00000000-0005-0000-0000-000028090000}"/>
    <cellStyle name="Normal 16 13 3" xfId="2223" xr:uid="{00000000-0005-0000-0000-000029090000}"/>
    <cellStyle name="Normal 16 14" xfId="2224" xr:uid="{00000000-0005-0000-0000-00002A090000}"/>
    <cellStyle name="Normal 16 14 2" xfId="2225" xr:uid="{00000000-0005-0000-0000-00002B090000}"/>
    <cellStyle name="Normal 16 14 2 2" xfId="2226" xr:uid="{00000000-0005-0000-0000-00002C090000}"/>
    <cellStyle name="Normal 16 14 3" xfId="2227" xr:uid="{00000000-0005-0000-0000-00002D090000}"/>
    <cellStyle name="Normal 16 15" xfId="2228" xr:uid="{00000000-0005-0000-0000-00002E090000}"/>
    <cellStyle name="Normal 16 15 2" xfId="2229" xr:uid="{00000000-0005-0000-0000-00002F090000}"/>
    <cellStyle name="Normal 16 15 2 2" xfId="2230" xr:uid="{00000000-0005-0000-0000-000030090000}"/>
    <cellStyle name="Normal 16 15 3" xfId="2231" xr:uid="{00000000-0005-0000-0000-000031090000}"/>
    <cellStyle name="Normal 16 16" xfId="2232" xr:uid="{00000000-0005-0000-0000-000032090000}"/>
    <cellStyle name="Normal 16 16 2" xfId="2233" xr:uid="{00000000-0005-0000-0000-000033090000}"/>
    <cellStyle name="Normal 16 17" xfId="2234" xr:uid="{00000000-0005-0000-0000-000034090000}"/>
    <cellStyle name="Normal 16 17 2" xfId="2235" xr:uid="{00000000-0005-0000-0000-000035090000}"/>
    <cellStyle name="Normal 16 18" xfId="2236" xr:uid="{00000000-0005-0000-0000-000036090000}"/>
    <cellStyle name="Normal 16 18 2" xfId="2237" xr:uid="{00000000-0005-0000-0000-000037090000}"/>
    <cellStyle name="Normal 16 19" xfId="2238" xr:uid="{00000000-0005-0000-0000-000038090000}"/>
    <cellStyle name="Normal 16 19 2" xfId="2239" xr:uid="{00000000-0005-0000-0000-000039090000}"/>
    <cellStyle name="Normal 16 2" xfId="2240" xr:uid="{00000000-0005-0000-0000-00003A090000}"/>
    <cellStyle name="Normal 16 2 2" xfId="2241" xr:uid="{00000000-0005-0000-0000-00003B090000}"/>
    <cellStyle name="Normal 16 2 2 2" xfId="2242" xr:uid="{00000000-0005-0000-0000-00003C090000}"/>
    <cellStyle name="Normal 16 2 3" xfId="2243" xr:uid="{00000000-0005-0000-0000-00003D090000}"/>
    <cellStyle name="Normal 16 20" xfId="2244" xr:uid="{00000000-0005-0000-0000-00003E090000}"/>
    <cellStyle name="Normal 16 20 2" xfId="2245" xr:uid="{00000000-0005-0000-0000-00003F090000}"/>
    <cellStyle name="Normal 16 21" xfId="2246" xr:uid="{00000000-0005-0000-0000-000040090000}"/>
    <cellStyle name="Normal 16 21 2" xfId="2247" xr:uid="{00000000-0005-0000-0000-000041090000}"/>
    <cellStyle name="Normal 16 22" xfId="2248" xr:uid="{00000000-0005-0000-0000-000042090000}"/>
    <cellStyle name="Normal 16 22 2" xfId="2249" xr:uid="{00000000-0005-0000-0000-000043090000}"/>
    <cellStyle name="Normal 16 23" xfId="2250" xr:uid="{00000000-0005-0000-0000-000044090000}"/>
    <cellStyle name="Normal 16 3" xfId="2251" xr:uid="{00000000-0005-0000-0000-000045090000}"/>
    <cellStyle name="Normal 16 3 2" xfId="2252" xr:uid="{00000000-0005-0000-0000-000046090000}"/>
    <cellStyle name="Normal 16 3 2 2" xfId="2253" xr:uid="{00000000-0005-0000-0000-000047090000}"/>
    <cellStyle name="Normal 16 3 3" xfId="2254" xr:uid="{00000000-0005-0000-0000-000048090000}"/>
    <cellStyle name="Normal 16 4" xfId="2255" xr:uid="{00000000-0005-0000-0000-000049090000}"/>
    <cellStyle name="Normal 16 4 2" xfId="2256" xr:uid="{00000000-0005-0000-0000-00004A090000}"/>
    <cellStyle name="Normal 16 4 2 2" xfId="2257" xr:uid="{00000000-0005-0000-0000-00004B090000}"/>
    <cellStyle name="Normal 16 4 3" xfId="2258" xr:uid="{00000000-0005-0000-0000-00004C090000}"/>
    <cellStyle name="Normal 16 5" xfId="2259" xr:uid="{00000000-0005-0000-0000-00004D090000}"/>
    <cellStyle name="Normal 16 5 2" xfId="2260" xr:uid="{00000000-0005-0000-0000-00004E090000}"/>
    <cellStyle name="Normal 16 5 2 2" xfId="2261" xr:uid="{00000000-0005-0000-0000-00004F090000}"/>
    <cellStyle name="Normal 16 5 3" xfId="2262" xr:uid="{00000000-0005-0000-0000-000050090000}"/>
    <cellStyle name="Normal 16 6" xfId="2263" xr:uid="{00000000-0005-0000-0000-000051090000}"/>
    <cellStyle name="Normal 16 6 2" xfId="2264" xr:uid="{00000000-0005-0000-0000-000052090000}"/>
    <cellStyle name="Normal 16 6 2 2" xfId="2265" xr:uid="{00000000-0005-0000-0000-000053090000}"/>
    <cellStyle name="Normal 16 6 3" xfId="2266" xr:uid="{00000000-0005-0000-0000-000054090000}"/>
    <cellStyle name="Normal 16 7" xfId="2267" xr:uid="{00000000-0005-0000-0000-000055090000}"/>
    <cellStyle name="Normal 16 7 2" xfId="2268" xr:uid="{00000000-0005-0000-0000-000056090000}"/>
    <cellStyle name="Normal 16 7 2 2" xfId="2269" xr:uid="{00000000-0005-0000-0000-000057090000}"/>
    <cellStyle name="Normal 16 7 3" xfId="2270" xr:uid="{00000000-0005-0000-0000-000058090000}"/>
    <cellStyle name="Normal 16 8" xfId="2271" xr:uid="{00000000-0005-0000-0000-000059090000}"/>
    <cellStyle name="Normal 16 8 2" xfId="2272" xr:uid="{00000000-0005-0000-0000-00005A090000}"/>
    <cellStyle name="Normal 16 8 2 2" xfId="2273" xr:uid="{00000000-0005-0000-0000-00005B090000}"/>
    <cellStyle name="Normal 16 8 3" xfId="2274" xr:uid="{00000000-0005-0000-0000-00005C090000}"/>
    <cellStyle name="Normal 16 9" xfId="2275" xr:uid="{00000000-0005-0000-0000-00005D090000}"/>
    <cellStyle name="Normal 16 9 2" xfId="2276" xr:uid="{00000000-0005-0000-0000-00005E090000}"/>
    <cellStyle name="Normal 16 9 2 2" xfId="2277" xr:uid="{00000000-0005-0000-0000-00005F090000}"/>
    <cellStyle name="Normal 16 9 3" xfId="2278" xr:uid="{00000000-0005-0000-0000-000060090000}"/>
    <cellStyle name="Normal 160 3 2" xfId="4694" xr:uid="{00000000-0005-0000-0000-000061090000}"/>
    <cellStyle name="Normal 17" xfId="2279" xr:uid="{00000000-0005-0000-0000-000062090000}"/>
    <cellStyle name="Normal 17 2" xfId="2280" xr:uid="{00000000-0005-0000-0000-000063090000}"/>
    <cellStyle name="Normal 17 2 2" xfId="2281" xr:uid="{00000000-0005-0000-0000-000064090000}"/>
    <cellStyle name="Normal 17 2 2 2" xfId="2282" xr:uid="{00000000-0005-0000-0000-000065090000}"/>
    <cellStyle name="Normal 17 2 2 2 2" xfId="2283" xr:uid="{00000000-0005-0000-0000-000066090000}"/>
    <cellStyle name="Normal 17 2 2 3" xfId="2284" xr:uid="{00000000-0005-0000-0000-000067090000}"/>
    <cellStyle name="Normal 17 2 3" xfId="2285" xr:uid="{00000000-0005-0000-0000-000068090000}"/>
    <cellStyle name="Normal 17 2 3 2" xfId="2286" xr:uid="{00000000-0005-0000-0000-000069090000}"/>
    <cellStyle name="Normal 17 2 3 2 2" xfId="2287" xr:uid="{00000000-0005-0000-0000-00006A090000}"/>
    <cellStyle name="Normal 17 2 3 3" xfId="2288" xr:uid="{00000000-0005-0000-0000-00006B090000}"/>
    <cellStyle name="Normal 17 2 4" xfId="2289" xr:uid="{00000000-0005-0000-0000-00006C090000}"/>
    <cellStyle name="Normal 17 2 4 2" xfId="2290" xr:uid="{00000000-0005-0000-0000-00006D090000}"/>
    <cellStyle name="Normal 17 2 5" xfId="2291" xr:uid="{00000000-0005-0000-0000-00006E090000}"/>
    <cellStyle name="Normal 17 3" xfId="2292" xr:uid="{00000000-0005-0000-0000-00006F090000}"/>
    <cellStyle name="Normal 17 3 2" xfId="2293" xr:uid="{00000000-0005-0000-0000-000070090000}"/>
    <cellStyle name="Normal 17 4" xfId="2294" xr:uid="{00000000-0005-0000-0000-000071090000}"/>
    <cellStyle name="Normal 17 4 2" xfId="2295" xr:uid="{00000000-0005-0000-0000-000072090000}"/>
    <cellStyle name="Normal 17 5" xfId="2296" xr:uid="{00000000-0005-0000-0000-000073090000}"/>
    <cellStyle name="Normal 17 5 2" xfId="2297" xr:uid="{00000000-0005-0000-0000-000074090000}"/>
    <cellStyle name="Normal 17 6" xfId="2298" xr:uid="{00000000-0005-0000-0000-000075090000}"/>
    <cellStyle name="Normal 17 6 2" xfId="2299" xr:uid="{00000000-0005-0000-0000-000076090000}"/>
    <cellStyle name="Normal 17 7" xfId="2300" xr:uid="{00000000-0005-0000-0000-000077090000}"/>
    <cellStyle name="Normal 18" xfId="2301" xr:uid="{00000000-0005-0000-0000-000078090000}"/>
    <cellStyle name="Normal 18 10" xfId="2302" xr:uid="{00000000-0005-0000-0000-000079090000}"/>
    <cellStyle name="Normal 18 10 2" xfId="2303" xr:uid="{00000000-0005-0000-0000-00007A090000}"/>
    <cellStyle name="Normal 18 10 2 2" xfId="2304" xr:uid="{00000000-0005-0000-0000-00007B090000}"/>
    <cellStyle name="Normal 18 10 3" xfId="2305" xr:uid="{00000000-0005-0000-0000-00007C090000}"/>
    <cellStyle name="Normal 18 11" xfId="2306" xr:uid="{00000000-0005-0000-0000-00007D090000}"/>
    <cellStyle name="Normal 18 11 2" xfId="2307" xr:uid="{00000000-0005-0000-0000-00007E090000}"/>
    <cellStyle name="Normal 18 11 2 2" xfId="2308" xr:uid="{00000000-0005-0000-0000-00007F090000}"/>
    <cellStyle name="Normal 18 11 3" xfId="2309" xr:uid="{00000000-0005-0000-0000-000080090000}"/>
    <cellStyle name="Normal 18 12" xfId="2310" xr:uid="{00000000-0005-0000-0000-000081090000}"/>
    <cellStyle name="Normal 18 12 2" xfId="2311" xr:uid="{00000000-0005-0000-0000-000082090000}"/>
    <cellStyle name="Normal 18 12 2 2" xfId="2312" xr:uid="{00000000-0005-0000-0000-000083090000}"/>
    <cellStyle name="Normal 18 12 3" xfId="2313" xr:uid="{00000000-0005-0000-0000-000084090000}"/>
    <cellStyle name="Normal 18 13" xfId="2314" xr:uid="{00000000-0005-0000-0000-000085090000}"/>
    <cellStyle name="Normal 18 13 2" xfId="2315" xr:uid="{00000000-0005-0000-0000-000086090000}"/>
    <cellStyle name="Normal 18 13 2 2" xfId="2316" xr:uid="{00000000-0005-0000-0000-000087090000}"/>
    <cellStyle name="Normal 18 13 3" xfId="2317" xr:uid="{00000000-0005-0000-0000-000088090000}"/>
    <cellStyle name="Normal 18 14" xfId="2318" xr:uid="{00000000-0005-0000-0000-000089090000}"/>
    <cellStyle name="Normal 18 14 2" xfId="2319" xr:uid="{00000000-0005-0000-0000-00008A090000}"/>
    <cellStyle name="Normal 18 14 2 2" xfId="2320" xr:uid="{00000000-0005-0000-0000-00008B090000}"/>
    <cellStyle name="Normal 18 14 3" xfId="2321" xr:uid="{00000000-0005-0000-0000-00008C090000}"/>
    <cellStyle name="Normal 18 15" xfId="2322" xr:uid="{00000000-0005-0000-0000-00008D090000}"/>
    <cellStyle name="Normal 18 15 2" xfId="2323" xr:uid="{00000000-0005-0000-0000-00008E090000}"/>
    <cellStyle name="Normal 18 15 2 2" xfId="2324" xr:uid="{00000000-0005-0000-0000-00008F090000}"/>
    <cellStyle name="Normal 18 15 3" xfId="2325" xr:uid="{00000000-0005-0000-0000-000090090000}"/>
    <cellStyle name="Normal 18 16" xfId="2326" xr:uid="{00000000-0005-0000-0000-000091090000}"/>
    <cellStyle name="Normal 18 16 2" xfId="2327" xr:uid="{00000000-0005-0000-0000-000092090000}"/>
    <cellStyle name="Normal 18 17" xfId="2328" xr:uid="{00000000-0005-0000-0000-000093090000}"/>
    <cellStyle name="Normal 18 17 2" xfId="2329" xr:uid="{00000000-0005-0000-0000-000094090000}"/>
    <cellStyle name="Normal 18 18" xfId="2330" xr:uid="{00000000-0005-0000-0000-000095090000}"/>
    <cellStyle name="Normal 18 18 2" xfId="2331" xr:uid="{00000000-0005-0000-0000-000096090000}"/>
    <cellStyle name="Normal 18 19" xfId="2332" xr:uid="{00000000-0005-0000-0000-000097090000}"/>
    <cellStyle name="Normal 18 19 2" xfId="2333" xr:uid="{00000000-0005-0000-0000-000098090000}"/>
    <cellStyle name="Normal 18 2" xfId="2334" xr:uid="{00000000-0005-0000-0000-000099090000}"/>
    <cellStyle name="Normal 18 2 2" xfId="2335" xr:uid="{00000000-0005-0000-0000-00009A090000}"/>
    <cellStyle name="Normal 18 2 2 2" xfId="2336" xr:uid="{00000000-0005-0000-0000-00009B090000}"/>
    <cellStyle name="Normal 18 2 3" xfId="2337" xr:uid="{00000000-0005-0000-0000-00009C090000}"/>
    <cellStyle name="Normal 18 20" xfId="2338" xr:uid="{00000000-0005-0000-0000-00009D090000}"/>
    <cellStyle name="Normal 18 20 2" xfId="2339" xr:uid="{00000000-0005-0000-0000-00009E090000}"/>
    <cellStyle name="Normal 18 21" xfId="2340" xr:uid="{00000000-0005-0000-0000-00009F090000}"/>
    <cellStyle name="Normal 18 21 2" xfId="2341" xr:uid="{00000000-0005-0000-0000-0000A0090000}"/>
    <cellStyle name="Normal 18 22" xfId="2342" xr:uid="{00000000-0005-0000-0000-0000A1090000}"/>
    <cellStyle name="Normal 18 3" xfId="2343" xr:uid="{00000000-0005-0000-0000-0000A2090000}"/>
    <cellStyle name="Normal 18 3 2" xfId="2344" xr:uid="{00000000-0005-0000-0000-0000A3090000}"/>
    <cellStyle name="Normal 18 3 2 2" xfId="2345" xr:uid="{00000000-0005-0000-0000-0000A4090000}"/>
    <cellStyle name="Normal 18 3 3" xfId="2346" xr:uid="{00000000-0005-0000-0000-0000A5090000}"/>
    <cellStyle name="Normal 18 4" xfId="2347" xr:uid="{00000000-0005-0000-0000-0000A6090000}"/>
    <cellStyle name="Normal 18 4 2" xfId="2348" xr:uid="{00000000-0005-0000-0000-0000A7090000}"/>
    <cellStyle name="Normal 18 4 2 2" xfId="2349" xr:uid="{00000000-0005-0000-0000-0000A8090000}"/>
    <cellStyle name="Normal 18 4 3" xfId="2350" xr:uid="{00000000-0005-0000-0000-0000A9090000}"/>
    <cellStyle name="Normal 18 5" xfId="2351" xr:uid="{00000000-0005-0000-0000-0000AA090000}"/>
    <cellStyle name="Normal 18 5 2" xfId="2352" xr:uid="{00000000-0005-0000-0000-0000AB090000}"/>
    <cellStyle name="Normal 18 5 2 2" xfId="2353" xr:uid="{00000000-0005-0000-0000-0000AC090000}"/>
    <cellStyle name="Normal 18 5 3" xfId="2354" xr:uid="{00000000-0005-0000-0000-0000AD090000}"/>
    <cellStyle name="Normal 18 6" xfId="2355" xr:uid="{00000000-0005-0000-0000-0000AE090000}"/>
    <cellStyle name="Normal 18 6 2" xfId="2356" xr:uid="{00000000-0005-0000-0000-0000AF090000}"/>
    <cellStyle name="Normal 18 6 2 2" xfId="2357" xr:uid="{00000000-0005-0000-0000-0000B0090000}"/>
    <cellStyle name="Normal 18 6 3" xfId="2358" xr:uid="{00000000-0005-0000-0000-0000B1090000}"/>
    <cellStyle name="Normal 18 7" xfId="2359" xr:uid="{00000000-0005-0000-0000-0000B2090000}"/>
    <cellStyle name="Normal 18 7 2" xfId="2360" xr:uid="{00000000-0005-0000-0000-0000B3090000}"/>
    <cellStyle name="Normal 18 7 2 2" xfId="2361" xr:uid="{00000000-0005-0000-0000-0000B4090000}"/>
    <cellStyle name="Normal 18 7 3" xfId="2362" xr:uid="{00000000-0005-0000-0000-0000B5090000}"/>
    <cellStyle name="Normal 18 8" xfId="2363" xr:uid="{00000000-0005-0000-0000-0000B6090000}"/>
    <cellStyle name="Normal 18 8 2" xfId="2364" xr:uid="{00000000-0005-0000-0000-0000B7090000}"/>
    <cellStyle name="Normal 18 8 2 2" xfId="2365" xr:uid="{00000000-0005-0000-0000-0000B8090000}"/>
    <cellStyle name="Normal 18 8 3" xfId="2366" xr:uid="{00000000-0005-0000-0000-0000B9090000}"/>
    <cellStyle name="Normal 18 9" xfId="2367" xr:uid="{00000000-0005-0000-0000-0000BA090000}"/>
    <cellStyle name="Normal 18 9 2" xfId="2368" xr:uid="{00000000-0005-0000-0000-0000BB090000}"/>
    <cellStyle name="Normal 18 9 2 2" xfId="2369" xr:uid="{00000000-0005-0000-0000-0000BC090000}"/>
    <cellStyle name="Normal 18 9 3" xfId="2370" xr:uid="{00000000-0005-0000-0000-0000BD090000}"/>
    <cellStyle name="Normal 19" xfId="2371" xr:uid="{00000000-0005-0000-0000-0000BE090000}"/>
    <cellStyle name="Normal 19 10" xfId="2372" xr:uid="{00000000-0005-0000-0000-0000BF090000}"/>
    <cellStyle name="Normal 19 10 2" xfId="2373" xr:uid="{00000000-0005-0000-0000-0000C0090000}"/>
    <cellStyle name="Normal 19 10 2 2" xfId="2374" xr:uid="{00000000-0005-0000-0000-0000C1090000}"/>
    <cellStyle name="Normal 19 10 3" xfId="2375" xr:uid="{00000000-0005-0000-0000-0000C2090000}"/>
    <cellStyle name="Normal 19 11" xfId="2376" xr:uid="{00000000-0005-0000-0000-0000C3090000}"/>
    <cellStyle name="Normal 19 11 2" xfId="2377" xr:uid="{00000000-0005-0000-0000-0000C4090000}"/>
    <cellStyle name="Normal 19 11 2 2" xfId="2378" xr:uid="{00000000-0005-0000-0000-0000C5090000}"/>
    <cellStyle name="Normal 19 11 3" xfId="2379" xr:uid="{00000000-0005-0000-0000-0000C6090000}"/>
    <cellStyle name="Normal 19 12" xfId="2380" xr:uid="{00000000-0005-0000-0000-0000C7090000}"/>
    <cellStyle name="Normal 19 12 2" xfId="2381" xr:uid="{00000000-0005-0000-0000-0000C8090000}"/>
    <cellStyle name="Normal 19 12 2 2" xfId="2382" xr:uid="{00000000-0005-0000-0000-0000C9090000}"/>
    <cellStyle name="Normal 19 12 3" xfId="2383" xr:uid="{00000000-0005-0000-0000-0000CA090000}"/>
    <cellStyle name="Normal 19 13" xfId="2384" xr:uid="{00000000-0005-0000-0000-0000CB090000}"/>
    <cellStyle name="Normal 19 13 2" xfId="2385" xr:uid="{00000000-0005-0000-0000-0000CC090000}"/>
    <cellStyle name="Normal 19 13 2 2" xfId="2386" xr:uid="{00000000-0005-0000-0000-0000CD090000}"/>
    <cellStyle name="Normal 19 13 3" xfId="2387" xr:uid="{00000000-0005-0000-0000-0000CE090000}"/>
    <cellStyle name="Normal 19 14" xfId="2388" xr:uid="{00000000-0005-0000-0000-0000CF090000}"/>
    <cellStyle name="Normal 19 14 2" xfId="2389" xr:uid="{00000000-0005-0000-0000-0000D0090000}"/>
    <cellStyle name="Normal 19 14 2 2" xfId="2390" xr:uid="{00000000-0005-0000-0000-0000D1090000}"/>
    <cellStyle name="Normal 19 14 3" xfId="2391" xr:uid="{00000000-0005-0000-0000-0000D2090000}"/>
    <cellStyle name="Normal 19 15" xfId="2392" xr:uid="{00000000-0005-0000-0000-0000D3090000}"/>
    <cellStyle name="Normal 19 15 2" xfId="2393" xr:uid="{00000000-0005-0000-0000-0000D4090000}"/>
    <cellStyle name="Normal 19 15 2 2" xfId="2394" xr:uid="{00000000-0005-0000-0000-0000D5090000}"/>
    <cellStyle name="Normal 19 15 3" xfId="2395" xr:uid="{00000000-0005-0000-0000-0000D6090000}"/>
    <cellStyle name="Normal 19 16" xfId="2396" xr:uid="{00000000-0005-0000-0000-0000D7090000}"/>
    <cellStyle name="Normal 19 16 2" xfId="2397" xr:uid="{00000000-0005-0000-0000-0000D8090000}"/>
    <cellStyle name="Normal 19 17" xfId="2398" xr:uid="{00000000-0005-0000-0000-0000D9090000}"/>
    <cellStyle name="Normal 19 17 2" xfId="2399" xr:uid="{00000000-0005-0000-0000-0000DA090000}"/>
    <cellStyle name="Normal 19 18" xfId="2400" xr:uid="{00000000-0005-0000-0000-0000DB090000}"/>
    <cellStyle name="Normal 19 18 2" xfId="2401" xr:uid="{00000000-0005-0000-0000-0000DC090000}"/>
    <cellStyle name="Normal 19 19" xfId="2402" xr:uid="{00000000-0005-0000-0000-0000DD090000}"/>
    <cellStyle name="Normal 19 19 2" xfId="2403" xr:uid="{00000000-0005-0000-0000-0000DE090000}"/>
    <cellStyle name="Normal 19 2" xfId="2404" xr:uid="{00000000-0005-0000-0000-0000DF090000}"/>
    <cellStyle name="Normal 19 2 2" xfId="2405" xr:uid="{00000000-0005-0000-0000-0000E0090000}"/>
    <cellStyle name="Normal 19 2 2 2" xfId="2406" xr:uid="{00000000-0005-0000-0000-0000E1090000}"/>
    <cellStyle name="Normal 19 2 3" xfId="2407" xr:uid="{00000000-0005-0000-0000-0000E2090000}"/>
    <cellStyle name="Normal 19 20" xfId="2408" xr:uid="{00000000-0005-0000-0000-0000E3090000}"/>
    <cellStyle name="Normal 19 20 2" xfId="2409" xr:uid="{00000000-0005-0000-0000-0000E4090000}"/>
    <cellStyle name="Normal 19 21" xfId="2410" xr:uid="{00000000-0005-0000-0000-0000E5090000}"/>
    <cellStyle name="Normal 19 21 2" xfId="2411" xr:uid="{00000000-0005-0000-0000-0000E6090000}"/>
    <cellStyle name="Normal 19 22" xfId="2412" xr:uid="{00000000-0005-0000-0000-0000E7090000}"/>
    <cellStyle name="Normal 19 3" xfId="2413" xr:uid="{00000000-0005-0000-0000-0000E8090000}"/>
    <cellStyle name="Normal 19 3 2" xfId="2414" xr:uid="{00000000-0005-0000-0000-0000E9090000}"/>
    <cellStyle name="Normal 19 3 2 2" xfId="2415" xr:uid="{00000000-0005-0000-0000-0000EA090000}"/>
    <cellStyle name="Normal 19 3 3" xfId="2416" xr:uid="{00000000-0005-0000-0000-0000EB090000}"/>
    <cellStyle name="Normal 19 4" xfId="2417" xr:uid="{00000000-0005-0000-0000-0000EC090000}"/>
    <cellStyle name="Normal 19 4 2" xfId="2418" xr:uid="{00000000-0005-0000-0000-0000ED090000}"/>
    <cellStyle name="Normal 19 4 2 2" xfId="2419" xr:uid="{00000000-0005-0000-0000-0000EE090000}"/>
    <cellStyle name="Normal 19 4 3" xfId="2420" xr:uid="{00000000-0005-0000-0000-0000EF090000}"/>
    <cellStyle name="Normal 19 5" xfId="2421" xr:uid="{00000000-0005-0000-0000-0000F0090000}"/>
    <cellStyle name="Normal 19 5 2" xfId="2422" xr:uid="{00000000-0005-0000-0000-0000F1090000}"/>
    <cellStyle name="Normal 19 5 2 2" xfId="2423" xr:uid="{00000000-0005-0000-0000-0000F2090000}"/>
    <cellStyle name="Normal 19 5 3" xfId="2424" xr:uid="{00000000-0005-0000-0000-0000F3090000}"/>
    <cellStyle name="Normal 19 6" xfId="2425" xr:uid="{00000000-0005-0000-0000-0000F4090000}"/>
    <cellStyle name="Normal 19 6 2" xfId="2426" xr:uid="{00000000-0005-0000-0000-0000F5090000}"/>
    <cellStyle name="Normal 19 6 2 2" xfId="2427" xr:uid="{00000000-0005-0000-0000-0000F6090000}"/>
    <cellStyle name="Normal 19 6 3" xfId="2428" xr:uid="{00000000-0005-0000-0000-0000F7090000}"/>
    <cellStyle name="Normal 19 7" xfId="2429" xr:uid="{00000000-0005-0000-0000-0000F8090000}"/>
    <cellStyle name="Normal 19 7 2" xfId="2430" xr:uid="{00000000-0005-0000-0000-0000F9090000}"/>
    <cellStyle name="Normal 19 7 2 2" xfId="2431" xr:uid="{00000000-0005-0000-0000-0000FA090000}"/>
    <cellStyle name="Normal 19 7 3" xfId="2432" xr:uid="{00000000-0005-0000-0000-0000FB090000}"/>
    <cellStyle name="Normal 19 8" xfId="2433" xr:uid="{00000000-0005-0000-0000-0000FC090000}"/>
    <cellStyle name="Normal 19 8 2" xfId="2434" xr:uid="{00000000-0005-0000-0000-0000FD090000}"/>
    <cellStyle name="Normal 19 8 2 2" xfId="2435" xr:uid="{00000000-0005-0000-0000-0000FE090000}"/>
    <cellStyle name="Normal 19 8 3" xfId="2436" xr:uid="{00000000-0005-0000-0000-0000FF090000}"/>
    <cellStyle name="Normal 19 9" xfId="2437" xr:uid="{00000000-0005-0000-0000-0000000A0000}"/>
    <cellStyle name="Normal 19 9 2" xfId="2438" xr:uid="{00000000-0005-0000-0000-0000010A0000}"/>
    <cellStyle name="Normal 19 9 2 2" xfId="2439" xr:uid="{00000000-0005-0000-0000-0000020A0000}"/>
    <cellStyle name="Normal 19 9 3" xfId="2440" xr:uid="{00000000-0005-0000-0000-0000030A0000}"/>
    <cellStyle name="Normal 2" xfId="121" xr:uid="{00000000-0005-0000-0000-0000040A0000}"/>
    <cellStyle name="Normal 2 10" xfId="2441" xr:uid="{00000000-0005-0000-0000-0000050A0000}"/>
    <cellStyle name="Normal 2 10 2" xfId="2442" xr:uid="{00000000-0005-0000-0000-0000060A0000}"/>
    <cellStyle name="Normal 2 10 2 2" xfId="2443" xr:uid="{00000000-0005-0000-0000-0000070A0000}"/>
    <cellStyle name="Normal 2 10 3" xfId="2444" xr:uid="{00000000-0005-0000-0000-0000080A0000}"/>
    <cellStyle name="Normal 2 11" xfId="2445" xr:uid="{00000000-0005-0000-0000-0000090A0000}"/>
    <cellStyle name="Normal 2 11 2" xfId="2446" xr:uid="{00000000-0005-0000-0000-00000A0A0000}"/>
    <cellStyle name="Normal 2 11 2 2" xfId="2447" xr:uid="{00000000-0005-0000-0000-00000B0A0000}"/>
    <cellStyle name="Normal 2 11 3" xfId="2448" xr:uid="{00000000-0005-0000-0000-00000C0A0000}"/>
    <cellStyle name="Normal 2 12" xfId="2449" xr:uid="{00000000-0005-0000-0000-00000D0A0000}"/>
    <cellStyle name="Normal 2 12 2" xfId="2450" xr:uid="{00000000-0005-0000-0000-00000E0A0000}"/>
    <cellStyle name="Normal 2 12 2 2" xfId="2451" xr:uid="{00000000-0005-0000-0000-00000F0A0000}"/>
    <cellStyle name="Normal 2 12 3" xfId="2452" xr:uid="{00000000-0005-0000-0000-0000100A0000}"/>
    <cellStyle name="Normal 2 13" xfId="2453" xr:uid="{00000000-0005-0000-0000-0000110A0000}"/>
    <cellStyle name="Normal 2 13 2" xfId="2454" xr:uid="{00000000-0005-0000-0000-0000120A0000}"/>
    <cellStyle name="Normal 2 13 2 2" xfId="2455" xr:uid="{00000000-0005-0000-0000-0000130A0000}"/>
    <cellStyle name="Normal 2 13 3" xfId="2456" xr:uid="{00000000-0005-0000-0000-0000140A0000}"/>
    <cellStyle name="Normal 2 14" xfId="2457" xr:uid="{00000000-0005-0000-0000-0000150A0000}"/>
    <cellStyle name="Normal 2 14 2" xfId="2458" xr:uid="{00000000-0005-0000-0000-0000160A0000}"/>
    <cellStyle name="Normal 2 14 2 2" xfId="2459" xr:uid="{00000000-0005-0000-0000-0000170A0000}"/>
    <cellStyle name="Normal 2 14 3" xfId="2460" xr:uid="{00000000-0005-0000-0000-0000180A0000}"/>
    <cellStyle name="Normal 2 15" xfId="2461" xr:uid="{00000000-0005-0000-0000-0000190A0000}"/>
    <cellStyle name="Normal 2 15 2" xfId="2462" xr:uid="{00000000-0005-0000-0000-00001A0A0000}"/>
    <cellStyle name="Normal 2 15 2 2" xfId="2463" xr:uid="{00000000-0005-0000-0000-00001B0A0000}"/>
    <cellStyle name="Normal 2 15 3" xfId="2464" xr:uid="{00000000-0005-0000-0000-00001C0A0000}"/>
    <cellStyle name="Normal 2 16" xfId="2465" xr:uid="{00000000-0005-0000-0000-00001D0A0000}"/>
    <cellStyle name="Normal 2 16 2" xfId="2466" xr:uid="{00000000-0005-0000-0000-00001E0A0000}"/>
    <cellStyle name="Normal 2 17" xfId="2467" xr:uid="{00000000-0005-0000-0000-00001F0A0000}"/>
    <cellStyle name="Normal 2 17 2" xfId="2468" xr:uid="{00000000-0005-0000-0000-0000200A0000}"/>
    <cellStyle name="Normal 2 18" xfId="2469" xr:uid="{00000000-0005-0000-0000-0000210A0000}"/>
    <cellStyle name="Normal 2 18 2" xfId="2470" xr:uid="{00000000-0005-0000-0000-0000220A0000}"/>
    <cellStyle name="Normal 2 19" xfId="2471" xr:uid="{00000000-0005-0000-0000-0000230A0000}"/>
    <cellStyle name="Normal 2 19 2" xfId="2472" xr:uid="{00000000-0005-0000-0000-0000240A0000}"/>
    <cellStyle name="Normal 2 19 2 2" xfId="2473" xr:uid="{00000000-0005-0000-0000-0000250A0000}"/>
    <cellStyle name="Normal 2 19 3" xfId="2474" xr:uid="{00000000-0005-0000-0000-0000260A0000}"/>
    <cellStyle name="Normal 2 2" xfId="122" xr:uid="{00000000-0005-0000-0000-0000270A0000}"/>
    <cellStyle name="Normal 2 2 10" xfId="2475" xr:uid="{00000000-0005-0000-0000-0000280A0000}"/>
    <cellStyle name="Normal 2 2 2" xfId="2476" xr:uid="{00000000-0005-0000-0000-0000290A0000}"/>
    <cellStyle name="Normal 2 2 2 2" xfId="2477" xr:uid="{00000000-0005-0000-0000-00002A0A0000}"/>
    <cellStyle name="Normal 2 2 3" xfId="2478" xr:uid="{00000000-0005-0000-0000-00002B0A0000}"/>
    <cellStyle name="Normal 2 2 3 2" xfId="2479" xr:uid="{00000000-0005-0000-0000-00002C0A0000}"/>
    <cellStyle name="Normal 2 2 4" xfId="2480" xr:uid="{00000000-0005-0000-0000-00002D0A0000}"/>
    <cellStyle name="Normal 2 2 4 2" xfId="2481" xr:uid="{00000000-0005-0000-0000-00002E0A0000}"/>
    <cellStyle name="Normal 2 2 5" xfId="2482" xr:uid="{00000000-0005-0000-0000-00002F0A0000}"/>
    <cellStyle name="Normal 2 2 5 2" xfId="2483" xr:uid="{00000000-0005-0000-0000-0000300A0000}"/>
    <cellStyle name="Normal 2 2 6" xfId="2484" xr:uid="{00000000-0005-0000-0000-0000310A0000}"/>
    <cellStyle name="Normal 2 2 6 2" xfId="2485" xr:uid="{00000000-0005-0000-0000-0000320A0000}"/>
    <cellStyle name="Normal 2 2 7" xfId="2486" xr:uid="{00000000-0005-0000-0000-0000330A0000}"/>
    <cellStyle name="Normal 2 2 7 2" xfId="2487" xr:uid="{00000000-0005-0000-0000-0000340A0000}"/>
    <cellStyle name="Normal 2 2 8" xfId="2488" xr:uid="{00000000-0005-0000-0000-0000350A0000}"/>
    <cellStyle name="Normal 2 2 8 2" xfId="2489" xr:uid="{00000000-0005-0000-0000-0000360A0000}"/>
    <cellStyle name="Normal 2 2 9" xfId="2490" xr:uid="{00000000-0005-0000-0000-0000370A0000}"/>
    <cellStyle name="Normal 2 20" xfId="2491" xr:uid="{00000000-0005-0000-0000-0000380A0000}"/>
    <cellStyle name="Normal 2 21" xfId="2492" xr:uid="{00000000-0005-0000-0000-0000390A0000}"/>
    <cellStyle name="Normal 2 22" xfId="2493" xr:uid="{00000000-0005-0000-0000-00003A0A0000}"/>
    <cellStyle name="Normal 2 3" xfId="2494" xr:uid="{00000000-0005-0000-0000-00003B0A0000}"/>
    <cellStyle name="Normal 2 3 2" xfId="2495" xr:uid="{00000000-0005-0000-0000-00003C0A0000}"/>
    <cellStyle name="Normal 2 3 2 2" xfId="2496" xr:uid="{00000000-0005-0000-0000-00003D0A0000}"/>
    <cellStyle name="Normal 2 3 3" xfId="2497" xr:uid="{00000000-0005-0000-0000-00003E0A0000}"/>
    <cellStyle name="Normal 2 4" xfId="2498" xr:uid="{00000000-0005-0000-0000-00003F0A0000}"/>
    <cellStyle name="Normal 2 4 2" xfId="2499" xr:uid="{00000000-0005-0000-0000-0000400A0000}"/>
    <cellStyle name="Normal 2 4 2 2" xfId="2500" xr:uid="{00000000-0005-0000-0000-0000410A0000}"/>
    <cellStyle name="Normal 2 4 3" xfId="2501" xr:uid="{00000000-0005-0000-0000-0000420A0000}"/>
    <cellStyle name="Normal 2 5" xfId="2502" xr:uid="{00000000-0005-0000-0000-0000430A0000}"/>
    <cellStyle name="Normal 2 5 2" xfId="2503" xr:uid="{00000000-0005-0000-0000-0000440A0000}"/>
    <cellStyle name="Normal 2 5 2 2" xfId="2504" xr:uid="{00000000-0005-0000-0000-0000450A0000}"/>
    <cellStyle name="Normal 2 5 3" xfId="2505" xr:uid="{00000000-0005-0000-0000-0000460A0000}"/>
    <cellStyle name="Normal 2 6" xfId="2506" xr:uid="{00000000-0005-0000-0000-0000470A0000}"/>
    <cellStyle name="Normal 2 6 2" xfId="2507" xr:uid="{00000000-0005-0000-0000-0000480A0000}"/>
    <cellStyle name="Normal 2 6 2 2" xfId="2508" xr:uid="{00000000-0005-0000-0000-0000490A0000}"/>
    <cellStyle name="Normal 2 6 3" xfId="2509" xr:uid="{00000000-0005-0000-0000-00004A0A0000}"/>
    <cellStyle name="Normal 2 7" xfId="2510" xr:uid="{00000000-0005-0000-0000-00004B0A0000}"/>
    <cellStyle name="Normal 2 7 2" xfId="2511" xr:uid="{00000000-0005-0000-0000-00004C0A0000}"/>
    <cellStyle name="Normal 2 7 2 2" xfId="2512" xr:uid="{00000000-0005-0000-0000-00004D0A0000}"/>
    <cellStyle name="Normal 2 7 3" xfId="2513" xr:uid="{00000000-0005-0000-0000-00004E0A0000}"/>
    <cellStyle name="Normal 2 8" xfId="2514" xr:uid="{00000000-0005-0000-0000-00004F0A0000}"/>
    <cellStyle name="Normal 2 8 2" xfId="2515" xr:uid="{00000000-0005-0000-0000-0000500A0000}"/>
    <cellStyle name="Normal 2 8 2 2" xfId="2516" xr:uid="{00000000-0005-0000-0000-0000510A0000}"/>
    <cellStyle name="Normal 2 8 3" xfId="2517" xr:uid="{00000000-0005-0000-0000-0000520A0000}"/>
    <cellStyle name="Normal 2 9" xfId="2518" xr:uid="{00000000-0005-0000-0000-0000530A0000}"/>
    <cellStyle name="Normal 2 9 2" xfId="2519" xr:uid="{00000000-0005-0000-0000-0000540A0000}"/>
    <cellStyle name="Normal 2 9 2 2" xfId="2520" xr:uid="{00000000-0005-0000-0000-0000550A0000}"/>
    <cellStyle name="Normal 2 9 3" xfId="2521" xr:uid="{00000000-0005-0000-0000-0000560A0000}"/>
    <cellStyle name="Normal 20" xfId="2522" xr:uid="{00000000-0005-0000-0000-0000570A0000}"/>
    <cellStyle name="Normal 20 10" xfId="2523" xr:uid="{00000000-0005-0000-0000-0000580A0000}"/>
    <cellStyle name="Normal 20 10 2" xfId="2524" xr:uid="{00000000-0005-0000-0000-0000590A0000}"/>
    <cellStyle name="Normal 20 10 2 2" xfId="2525" xr:uid="{00000000-0005-0000-0000-00005A0A0000}"/>
    <cellStyle name="Normal 20 10 3" xfId="2526" xr:uid="{00000000-0005-0000-0000-00005B0A0000}"/>
    <cellStyle name="Normal 20 10 3 2" xfId="2527" xr:uid="{00000000-0005-0000-0000-00005C0A0000}"/>
    <cellStyle name="Normal 20 10 4" xfId="2528" xr:uid="{00000000-0005-0000-0000-00005D0A0000}"/>
    <cellStyle name="Normal 20 11" xfId="2529" xr:uid="{00000000-0005-0000-0000-00005E0A0000}"/>
    <cellStyle name="Normal 20 11 2" xfId="2530" xr:uid="{00000000-0005-0000-0000-00005F0A0000}"/>
    <cellStyle name="Normal 20 11 2 2" xfId="2531" xr:uid="{00000000-0005-0000-0000-0000600A0000}"/>
    <cellStyle name="Normal 20 11 3" xfId="2532" xr:uid="{00000000-0005-0000-0000-0000610A0000}"/>
    <cellStyle name="Normal 20 12" xfId="2533" xr:uid="{00000000-0005-0000-0000-0000620A0000}"/>
    <cellStyle name="Normal 20 12 2" xfId="2534" xr:uid="{00000000-0005-0000-0000-0000630A0000}"/>
    <cellStyle name="Normal 20 12 2 2" xfId="2535" xr:uid="{00000000-0005-0000-0000-0000640A0000}"/>
    <cellStyle name="Normal 20 12 3" xfId="2536" xr:uid="{00000000-0005-0000-0000-0000650A0000}"/>
    <cellStyle name="Normal 20 13" xfId="2537" xr:uid="{00000000-0005-0000-0000-0000660A0000}"/>
    <cellStyle name="Normal 20 13 2" xfId="2538" xr:uid="{00000000-0005-0000-0000-0000670A0000}"/>
    <cellStyle name="Normal 20 13 2 2" xfId="2539" xr:uid="{00000000-0005-0000-0000-0000680A0000}"/>
    <cellStyle name="Normal 20 13 3" xfId="2540" xr:uid="{00000000-0005-0000-0000-0000690A0000}"/>
    <cellStyle name="Normal 20 14" xfId="2541" xr:uid="{00000000-0005-0000-0000-00006A0A0000}"/>
    <cellStyle name="Normal 20 14 2" xfId="2542" xr:uid="{00000000-0005-0000-0000-00006B0A0000}"/>
    <cellStyle name="Normal 20 14 2 2" xfId="2543" xr:uid="{00000000-0005-0000-0000-00006C0A0000}"/>
    <cellStyle name="Normal 20 14 3" xfId="2544" xr:uid="{00000000-0005-0000-0000-00006D0A0000}"/>
    <cellStyle name="Normal 20 15" xfId="2545" xr:uid="{00000000-0005-0000-0000-00006E0A0000}"/>
    <cellStyle name="Normal 20 15 2" xfId="2546" xr:uid="{00000000-0005-0000-0000-00006F0A0000}"/>
    <cellStyle name="Normal 20 15 2 2" xfId="2547" xr:uid="{00000000-0005-0000-0000-0000700A0000}"/>
    <cellStyle name="Normal 20 15 3" xfId="2548" xr:uid="{00000000-0005-0000-0000-0000710A0000}"/>
    <cellStyle name="Normal 20 16" xfId="2549" xr:uid="{00000000-0005-0000-0000-0000720A0000}"/>
    <cellStyle name="Normal 20 16 2" xfId="2550" xr:uid="{00000000-0005-0000-0000-0000730A0000}"/>
    <cellStyle name="Normal 20 17" xfId="2551" xr:uid="{00000000-0005-0000-0000-0000740A0000}"/>
    <cellStyle name="Normal 20 17 2" xfId="2552" xr:uid="{00000000-0005-0000-0000-0000750A0000}"/>
    <cellStyle name="Normal 20 18" xfId="2553" xr:uid="{00000000-0005-0000-0000-0000760A0000}"/>
    <cellStyle name="Normal 20 18 2" xfId="2554" xr:uid="{00000000-0005-0000-0000-0000770A0000}"/>
    <cellStyle name="Normal 20 19" xfId="2555" xr:uid="{00000000-0005-0000-0000-0000780A0000}"/>
    <cellStyle name="Normal 20 19 2" xfId="2556" xr:uid="{00000000-0005-0000-0000-0000790A0000}"/>
    <cellStyle name="Normal 20 2" xfId="2557" xr:uid="{00000000-0005-0000-0000-00007A0A0000}"/>
    <cellStyle name="Normal 20 2 2" xfId="2558" xr:uid="{00000000-0005-0000-0000-00007B0A0000}"/>
    <cellStyle name="Normal 20 2 2 2" xfId="2559" xr:uid="{00000000-0005-0000-0000-00007C0A0000}"/>
    <cellStyle name="Normal 20 2 3" xfId="2560" xr:uid="{00000000-0005-0000-0000-00007D0A0000}"/>
    <cellStyle name="Normal 20 20" xfId="2561" xr:uid="{00000000-0005-0000-0000-00007E0A0000}"/>
    <cellStyle name="Normal 20 20 2" xfId="2562" xr:uid="{00000000-0005-0000-0000-00007F0A0000}"/>
    <cellStyle name="Normal 20 21" xfId="2563" xr:uid="{00000000-0005-0000-0000-0000800A0000}"/>
    <cellStyle name="Normal 20 3" xfId="2564" xr:uid="{00000000-0005-0000-0000-0000810A0000}"/>
    <cellStyle name="Normal 20 3 2" xfId="2565" xr:uid="{00000000-0005-0000-0000-0000820A0000}"/>
    <cellStyle name="Normal 20 3 2 2" xfId="2566" xr:uid="{00000000-0005-0000-0000-0000830A0000}"/>
    <cellStyle name="Normal 20 3 3" xfId="2567" xr:uid="{00000000-0005-0000-0000-0000840A0000}"/>
    <cellStyle name="Normal 20 4" xfId="2568" xr:uid="{00000000-0005-0000-0000-0000850A0000}"/>
    <cellStyle name="Normal 20 4 2" xfId="2569" xr:uid="{00000000-0005-0000-0000-0000860A0000}"/>
    <cellStyle name="Normal 20 4 2 2" xfId="2570" xr:uid="{00000000-0005-0000-0000-0000870A0000}"/>
    <cellStyle name="Normal 20 4 3" xfId="2571" xr:uid="{00000000-0005-0000-0000-0000880A0000}"/>
    <cellStyle name="Normal 20 5" xfId="2572" xr:uid="{00000000-0005-0000-0000-0000890A0000}"/>
    <cellStyle name="Normal 20 5 2" xfId="2573" xr:uid="{00000000-0005-0000-0000-00008A0A0000}"/>
    <cellStyle name="Normal 20 5 2 2" xfId="2574" xr:uid="{00000000-0005-0000-0000-00008B0A0000}"/>
    <cellStyle name="Normal 20 5 3" xfId="2575" xr:uid="{00000000-0005-0000-0000-00008C0A0000}"/>
    <cellStyle name="Normal 20 6" xfId="2576" xr:uid="{00000000-0005-0000-0000-00008D0A0000}"/>
    <cellStyle name="Normal 20 6 2" xfId="2577" xr:uid="{00000000-0005-0000-0000-00008E0A0000}"/>
    <cellStyle name="Normal 20 6 2 2" xfId="2578" xr:uid="{00000000-0005-0000-0000-00008F0A0000}"/>
    <cellStyle name="Normal 20 6 3" xfId="2579" xr:uid="{00000000-0005-0000-0000-0000900A0000}"/>
    <cellStyle name="Normal 20 7" xfId="2580" xr:uid="{00000000-0005-0000-0000-0000910A0000}"/>
    <cellStyle name="Normal 20 7 2" xfId="2581" xr:uid="{00000000-0005-0000-0000-0000920A0000}"/>
    <cellStyle name="Normal 20 7 2 2" xfId="2582" xr:uid="{00000000-0005-0000-0000-0000930A0000}"/>
    <cellStyle name="Normal 20 7 3" xfId="2583" xr:uid="{00000000-0005-0000-0000-0000940A0000}"/>
    <cellStyle name="Normal 20 8" xfId="2584" xr:uid="{00000000-0005-0000-0000-0000950A0000}"/>
    <cellStyle name="Normal 20 8 2" xfId="2585" xr:uid="{00000000-0005-0000-0000-0000960A0000}"/>
    <cellStyle name="Normal 20 8 2 2" xfId="2586" xr:uid="{00000000-0005-0000-0000-0000970A0000}"/>
    <cellStyle name="Normal 20 8 3" xfId="2587" xr:uid="{00000000-0005-0000-0000-0000980A0000}"/>
    <cellStyle name="Normal 20 9" xfId="2588" xr:uid="{00000000-0005-0000-0000-0000990A0000}"/>
    <cellStyle name="Normal 20 9 2" xfId="2589" xr:uid="{00000000-0005-0000-0000-00009A0A0000}"/>
    <cellStyle name="Normal 20 9 2 2" xfId="2590" xr:uid="{00000000-0005-0000-0000-00009B0A0000}"/>
    <cellStyle name="Normal 20 9 3" xfId="2591" xr:uid="{00000000-0005-0000-0000-00009C0A0000}"/>
    <cellStyle name="Normal 21" xfId="2592" xr:uid="{00000000-0005-0000-0000-00009D0A0000}"/>
    <cellStyle name="Normal 21 10" xfId="2593" xr:uid="{00000000-0005-0000-0000-00009E0A0000}"/>
    <cellStyle name="Normal 21 10 2" xfId="2594" xr:uid="{00000000-0005-0000-0000-00009F0A0000}"/>
    <cellStyle name="Normal 21 10 2 2" xfId="2595" xr:uid="{00000000-0005-0000-0000-0000A00A0000}"/>
    <cellStyle name="Normal 21 10 3" xfId="2596" xr:uid="{00000000-0005-0000-0000-0000A10A0000}"/>
    <cellStyle name="Normal 21 11" xfId="2597" xr:uid="{00000000-0005-0000-0000-0000A20A0000}"/>
    <cellStyle name="Normal 21 11 2" xfId="2598" xr:uid="{00000000-0005-0000-0000-0000A30A0000}"/>
    <cellStyle name="Normal 21 11 2 2" xfId="2599" xr:uid="{00000000-0005-0000-0000-0000A40A0000}"/>
    <cellStyle name="Normal 21 11 3" xfId="2600" xr:uid="{00000000-0005-0000-0000-0000A50A0000}"/>
    <cellStyle name="Normal 21 12" xfId="2601" xr:uid="{00000000-0005-0000-0000-0000A60A0000}"/>
    <cellStyle name="Normal 21 12 2" xfId="2602" xr:uid="{00000000-0005-0000-0000-0000A70A0000}"/>
    <cellStyle name="Normal 21 12 2 2" xfId="2603" xr:uid="{00000000-0005-0000-0000-0000A80A0000}"/>
    <cellStyle name="Normal 21 12 3" xfId="2604" xr:uid="{00000000-0005-0000-0000-0000A90A0000}"/>
    <cellStyle name="Normal 21 13" xfId="2605" xr:uid="{00000000-0005-0000-0000-0000AA0A0000}"/>
    <cellStyle name="Normal 21 13 2" xfId="2606" xr:uid="{00000000-0005-0000-0000-0000AB0A0000}"/>
    <cellStyle name="Normal 21 13 2 2" xfId="2607" xr:uid="{00000000-0005-0000-0000-0000AC0A0000}"/>
    <cellStyle name="Normal 21 13 3" xfId="2608" xr:uid="{00000000-0005-0000-0000-0000AD0A0000}"/>
    <cellStyle name="Normal 21 14" xfId="2609" xr:uid="{00000000-0005-0000-0000-0000AE0A0000}"/>
    <cellStyle name="Normal 21 14 2" xfId="2610" xr:uid="{00000000-0005-0000-0000-0000AF0A0000}"/>
    <cellStyle name="Normal 21 14 2 2" xfId="2611" xr:uid="{00000000-0005-0000-0000-0000B00A0000}"/>
    <cellStyle name="Normal 21 14 3" xfId="2612" xr:uid="{00000000-0005-0000-0000-0000B10A0000}"/>
    <cellStyle name="Normal 21 15" xfId="2613" xr:uid="{00000000-0005-0000-0000-0000B20A0000}"/>
    <cellStyle name="Normal 21 15 2" xfId="2614" xr:uid="{00000000-0005-0000-0000-0000B30A0000}"/>
    <cellStyle name="Normal 21 15 2 2" xfId="2615" xr:uid="{00000000-0005-0000-0000-0000B40A0000}"/>
    <cellStyle name="Normal 21 15 3" xfId="2616" xr:uid="{00000000-0005-0000-0000-0000B50A0000}"/>
    <cellStyle name="Normal 21 16" xfId="2617" xr:uid="{00000000-0005-0000-0000-0000B60A0000}"/>
    <cellStyle name="Normal 21 16 2" xfId="2618" xr:uid="{00000000-0005-0000-0000-0000B70A0000}"/>
    <cellStyle name="Normal 21 17" xfId="2619" xr:uid="{00000000-0005-0000-0000-0000B80A0000}"/>
    <cellStyle name="Normal 21 2" xfId="2620" xr:uid="{00000000-0005-0000-0000-0000B90A0000}"/>
    <cellStyle name="Normal 21 2 2" xfId="2621" xr:uid="{00000000-0005-0000-0000-0000BA0A0000}"/>
    <cellStyle name="Normal 21 2 2 2" xfId="2622" xr:uid="{00000000-0005-0000-0000-0000BB0A0000}"/>
    <cellStyle name="Normal 21 2 3" xfId="2623" xr:uid="{00000000-0005-0000-0000-0000BC0A0000}"/>
    <cellStyle name="Normal 21 3" xfId="2624" xr:uid="{00000000-0005-0000-0000-0000BD0A0000}"/>
    <cellStyle name="Normal 21 3 2" xfId="2625" xr:uid="{00000000-0005-0000-0000-0000BE0A0000}"/>
    <cellStyle name="Normal 21 3 2 2" xfId="2626" xr:uid="{00000000-0005-0000-0000-0000BF0A0000}"/>
    <cellStyle name="Normal 21 3 3" xfId="2627" xr:uid="{00000000-0005-0000-0000-0000C00A0000}"/>
    <cellStyle name="Normal 21 4" xfId="2628" xr:uid="{00000000-0005-0000-0000-0000C10A0000}"/>
    <cellStyle name="Normal 21 4 2" xfId="2629" xr:uid="{00000000-0005-0000-0000-0000C20A0000}"/>
    <cellStyle name="Normal 21 4 2 2" xfId="2630" xr:uid="{00000000-0005-0000-0000-0000C30A0000}"/>
    <cellStyle name="Normal 21 4 3" xfId="2631" xr:uid="{00000000-0005-0000-0000-0000C40A0000}"/>
    <cellStyle name="Normal 21 5" xfId="2632" xr:uid="{00000000-0005-0000-0000-0000C50A0000}"/>
    <cellStyle name="Normal 21 5 2" xfId="2633" xr:uid="{00000000-0005-0000-0000-0000C60A0000}"/>
    <cellStyle name="Normal 21 5 2 2" xfId="2634" xr:uid="{00000000-0005-0000-0000-0000C70A0000}"/>
    <cellStyle name="Normal 21 5 3" xfId="2635" xr:uid="{00000000-0005-0000-0000-0000C80A0000}"/>
    <cellStyle name="Normal 21 6" xfId="2636" xr:uid="{00000000-0005-0000-0000-0000C90A0000}"/>
    <cellStyle name="Normal 21 6 2" xfId="2637" xr:uid="{00000000-0005-0000-0000-0000CA0A0000}"/>
    <cellStyle name="Normal 21 6 2 2" xfId="2638" xr:uid="{00000000-0005-0000-0000-0000CB0A0000}"/>
    <cellStyle name="Normal 21 6 3" xfId="2639" xr:uid="{00000000-0005-0000-0000-0000CC0A0000}"/>
    <cellStyle name="Normal 21 7" xfId="2640" xr:uid="{00000000-0005-0000-0000-0000CD0A0000}"/>
    <cellStyle name="Normal 21 7 2" xfId="2641" xr:uid="{00000000-0005-0000-0000-0000CE0A0000}"/>
    <cellStyle name="Normal 21 7 2 2" xfId="2642" xr:uid="{00000000-0005-0000-0000-0000CF0A0000}"/>
    <cellStyle name="Normal 21 7 3" xfId="2643" xr:uid="{00000000-0005-0000-0000-0000D00A0000}"/>
    <cellStyle name="Normal 21 8" xfId="2644" xr:uid="{00000000-0005-0000-0000-0000D10A0000}"/>
    <cellStyle name="Normal 21 8 2" xfId="2645" xr:uid="{00000000-0005-0000-0000-0000D20A0000}"/>
    <cellStyle name="Normal 21 8 2 2" xfId="2646" xr:uid="{00000000-0005-0000-0000-0000D30A0000}"/>
    <cellStyle name="Normal 21 8 3" xfId="2647" xr:uid="{00000000-0005-0000-0000-0000D40A0000}"/>
    <cellStyle name="Normal 21 9" xfId="2648" xr:uid="{00000000-0005-0000-0000-0000D50A0000}"/>
    <cellStyle name="Normal 21 9 2" xfId="2649" xr:uid="{00000000-0005-0000-0000-0000D60A0000}"/>
    <cellStyle name="Normal 21 9 2 2" xfId="2650" xr:uid="{00000000-0005-0000-0000-0000D70A0000}"/>
    <cellStyle name="Normal 21 9 3" xfId="2651" xr:uid="{00000000-0005-0000-0000-0000D80A0000}"/>
    <cellStyle name="Normal 22" xfId="2652" xr:uid="{00000000-0005-0000-0000-0000D90A0000}"/>
    <cellStyle name="Normal 22 10" xfId="2653" xr:uid="{00000000-0005-0000-0000-0000DA0A0000}"/>
    <cellStyle name="Normal 22 10 2" xfId="2654" xr:uid="{00000000-0005-0000-0000-0000DB0A0000}"/>
    <cellStyle name="Normal 22 10 2 2" xfId="2655" xr:uid="{00000000-0005-0000-0000-0000DC0A0000}"/>
    <cellStyle name="Normal 22 10 3" xfId="2656" xr:uid="{00000000-0005-0000-0000-0000DD0A0000}"/>
    <cellStyle name="Normal 22 11" xfId="2657" xr:uid="{00000000-0005-0000-0000-0000DE0A0000}"/>
    <cellStyle name="Normal 22 11 2" xfId="2658" xr:uid="{00000000-0005-0000-0000-0000DF0A0000}"/>
    <cellStyle name="Normal 22 11 2 2" xfId="2659" xr:uid="{00000000-0005-0000-0000-0000E00A0000}"/>
    <cellStyle name="Normal 22 11 3" xfId="2660" xr:uid="{00000000-0005-0000-0000-0000E10A0000}"/>
    <cellStyle name="Normal 22 12" xfId="2661" xr:uid="{00000000-0005-0000-0000-0000E20A0000}"/>
    <cellStyle name="Normal 22 12 2" xfId="2662" xr:uid="{00000000-0005-0000-0000-0000E30A0000}"/>
    <cellStyle name="Normal 22 12 2 2" xfId="2663" xr:uid="{00000000-0005-0000-0000-0000E40A0000}"/>
    <cellStyle name="Normal 22 12 3" xfId="2664" xr:uid="{00000000-0005-0000-0000-0000E50A0000}"/>
    <cellStyle name="Normal 22 13" xfId="2665" xr:uid="{00000000-0005-0000-0000-0000E60A0000}"/>
    <cellStyle name="Normal 22 13 2" xfId="2666" xr:uid="{00000000-0005-0000-0000-0000E70A0000}"/>
    <cellStyle name="Normal 22 13 2 2" xfId="2667" xr:uid="{00000000-0005-0000-0000-0000E80A0000}"/>
    <cellStyle name="Normal 22 13 3" xfId="2668" xr:uid="{00000000-0005-0000-0000-0000E90A0000}"/>
    <cellStyle name="Normal 22 14" xfId="2669" xr:uid="{00000000-0005-0000-0000-0000EA0A0000}"/>
    <cellStyle name="Normal 22 14 2" xfId="2670" xr:uid="{00000000-0005-0000-0000-0000EB0A0000}"/>
    <cellStyle name="Normal 22 14 2 2" xfId="2671" xr:uid="{00000000-0005-0000-0000-0000EC0A0000}"/>
    <cellStyle name="Normal 22 14 3" xfId="2672" xr:uid="{00000000-0005-0000-0000-0000ED0A0000}"/>
    <cellStyle name="Normal 22 15" xfId="2673" xr:uid="{00000000-0005-0000-0000-0000EE0A0000}"/>
    <cellStyle name="Normal 22 15 2" xfId="2674" xr:uid="{00000000-0005-0000-0000-0000EF0A0000}"/>
    <cellStyle name="Normal 22 15 2 2" xfId="2675" xr:uid="{00000000-0005-0000-0000-0000F00A0000}"/>
    <cellStyle name="Normal 22 15 3" xfId="2676" xr:uid="{00000000-0005-0000-0000-0000F10A0000}"/>
    <cellStyle name="Normal 22 16" xfId="2677" xr:uid="{00000000-0005-0000-0000-0000F20A0000}"/>
    <cellStyle name="Normal 22 16 2" xfId="2678" xr:uid="{00000000-0005-0000-0000-0000F30A0000}"/>
    <cellStyle name="Normal 22 17" xfId="2679" xr:uid="{00000000-0005-0000-0000-0000F40A0000}"/>
    <cellStyle name="Normal 22 2" xfId="2680" xr:uid="{00000000-0005-0000-0000-0000F50A0000}"/>
    <cellStyle name="Normal 22 2 2" xfId="2681" xr:uid="{00000000-0005-0000-0000-0000F60A0000}"/>
    <cellStyle name="Normal 22 2 2 2" xfId="2682" xr:uid="{00000000-0005-0000-0000-0000F70A0000}"/>
    <cellStyle name="Normal 22 2 3" xfId="2683" xr:uid="{00000000-0005-0000-0000-0000F80A0000}"/>
    <cellStyle name="Normal 22 3" xfId="2684" xr:uid="{00000000-0005-0000-0000-0000F90A0000}"/>
    <cellStyle name="Normal 22 3 2" xfId="2685" xr:uid="{00000000-0005-0000-0000-0000FA0A0000}"/>
    <cellStyle name="Normal 22 3 2 2" xfId="2686" xr:uid="{00000000-0005-0000-0000-0000FB0A0000}"/>
    <cellStyle name="Normal 22 3 3" xfId="2687" xr:uid="{00000000-0005-0000-0000-0000FC0A0000}"/>
    <cellStyle name="Normal 22 4" xfId="2688" xr:uid="{00000000-0005-0000-0000-0000FD0A0000}"/>
    <cellStyle name="Normal 22 4 2" xfId="2689" xr:uid="{00000000-0005-0000-0000-0000FE0A0000}"/>
    <cellStyle name="Normal 22 4 2 2" xfId="2690" xr:uid="{00000000-0005-0000-0000-0000FF0A0000}"/>
    <cellStyle name="Normal 22 4 3" xfId="2691" xr:uid="{00000000-0005-0000-0000-0000000B0000}"/>
    <cellStyle name="Normal 22 5" xfId="2692" xr:uid="{00000000-0005-0000-0000-0000010B0000}"/>
    <cellStyle name="Normal 22 5 2" xfId="2693" xr:uid="{00000000-0005-0000-0000-0000020B0000}"/>
    <cellStyle name="Normal 22 5 2 2" xfId="2694" xr:uid="{00000000-0005-0000-0000-0000030B0000}"/>
    <cellStyle name="Normal 22 5 3" xfId="2695" xr:uid="{00000000-0005-0000-0000-0000040B0000}"/>
    <cellStyle name="Normal 22 6" xfId="2696" xr:uid="{00000000-0005-0000-0000-0000050B0000}"/>
    <cellStyle name="Normal 22 6 2" xfId="2697" xr:uid="{00000000-0005-0000-0000-0000060B0000}"/>
    <cellStyle name="Normal 22 6 2 2" xfId="2698" xr:uid="{00000000-0005-0000-0000-0000070B0000}"/>
    <cellStyle name="Normal 22 6 3" xfId="2699" xr:uid="{00000000-0005-0000-0000-0000080B0000}"/>
    <cellStyle name="Normal 22 7" xfId="2700" xr:uid="{00000000-0005-0000-0000-0000090B0000}"/>
    <cellStyle name="Normal 22 7 2" xfId="2701" xr:uid="{00000000-0005-0000-0000-00000A0B0000}"/>
    <cellStyle name="Normal 22 7 2 2" xfId="2702" xr:uid="{00000000-0005-0000-0000-00000B0B0000}"/>
    <cellStyle name="Normal 22 7 3" xfId="2703" xr:uid="{00000000-0005-0000-0000-00000C0B0000}"/>
    <cellStyle name="Normal 22 8" xfId="2704" xr:uid="{00000000-0005-0000-0000-00000D0B0000}"/>
    <cellStyle name="Normal 22 8 2" xfId="2705" xr:uid="{00000000-0005-0000-0000-00000E0B0000}"/>
    <cellStyle name="Normal 22 8 2 2" xfId="2706" xr:uid="{00000000-0005-0000-0000-00000F0B0000}"/>
    <cellStyle name="Normal 22 8 3" xfId="2707" xr:uid="{00000000-0005-0000-0000-0000100B0000}"/>
    <cellStyle name="Normal 22 9" xfId="2708" xr:uid="{00000000-0005-0000-0000-0000110B0000}"/>
    <cellStyle name="Normal 22 9 2" xfId="2709" xr:uid="{00000000-0005-0000-0000-0000120B0000}"/>
    <cellStyle name="Normal 22 9 2 2" xfId="2710" xr:uid="{00000000-0005-0000-0000-0000130B0000}"/>
    <cellStyle name="Normal 22 9 3" xfId="2711" xr:uid="{00000000-0005-0000-0000-0000140B0000}"/>
    <cellStyle name="Normal 23" xfId="2712" xr:uid="{00000000-0005-0000-0000-0000150B0000}"/>
    <cellStyle name="Normal 23 10" xfId="2713" xr:uid="{00000000-0005-0000-0000-0000160B0000}"/>
    <cellStyle name="Normal 23 10 2" xfId="2714" xr:uid="{00000000-0005-0000-0000-0000170B0000}"/>
    <cellStyle name="Normal 23 10 2 2" xfId="2715" xr:uid="{00000000-0005-0000-0000-0000180B0000}"/>
    <cellStyle name="Normal 23 10 3" xfId="2716" xr:uid="{00000000-0005-0000-0000-0000190B0000}"/>
    <cellStyle name="Normal 23 11" xfId="2717" xr:uid="{00000000-0005-0000-0000-00001A0B0000}"/>
    <cellStyle name="Normal 23 11 2" xfId="2718" xr:uid="{00000000-0005-0000-0000-00001B0B0000}"/>
    <cellStyle name="Normal 23 11 2 2" xfId="2719" xr:uid="{00000000-0005-0000-0000-00001C0B0000}"/>
    <cellStyle name="Normal 23 11 3" xfId="2720" xr:uid="{00000000-0005-0000-0000-00001D0B0000}"/>
    <cellStyle name="Normal 23 12" xfId="2721" xr:uid="{00000000-0005-0000-0000-00001E0B0000}"/>
    <cellStyle name="Normal 23 12 2" xfId="2722" xr:uid="{00000000-0005-0000-0000-00001F0B0000}"/>
    <cellStyle name="Normal 23 12 2 2" xfId="2723" xr:uid="{00000000-0005-0000-0000-0000200B0000}"/>
    <cellStyle name="Normal 23 12 3" xfId="2724" xr:uid="{00000000-0005-0000-0000-0000210B0000}"/>
    <cellStyle name="Normal 23 13" xfId="2725" xr:uid="{00000000-0005-0000-0000-0000220B0000}"/>
    <cellStyle name="Normal 23 13 2" xfId="2726" xr:uid="{00000000-0005-0000-0000-0000230B0000}"/>
    <cellStyle name="Normal 23 13 2 2" xfId="2727" xr:uid="{00000000-0005-0000-0000-0000240B0000}"/>
    <cellStyle name="Normal 23 13 3" xfId="2728" xr:uid="{00000000-0005-0000-0000-0000250B0000}"/>
    <cellStyle name="Normal 23 14" xfId="2729" xr:uid="{00000000-0005-0000-0000-0000260B0000}"/>
    <cellStyle name="Normal 23 14 2" xfId="2730" xr:uid="{00000000-0005-0000-0000-0000270B0000}"/>
    <cellStyle name="Normal 23 14 2 2" xfId="2731" xr:uid="{00000000-0005-0000-0000-0000280B0000}"/>
    <cellStyle name="Normal 23 14 3" xfId="2732" xr:uid="{00000000-0005-0000-0000-0000290B0000}"/>
    <cellStyle name="Normal 23 15" xfId="2733" xr:uid="{00000000-0005-0000-0000-00002A0B0000}"/>
    <cellStyle name="Normal 23 15 2" xfId="2734" xr:uid="{00000000-0005-0000-0000-00002B0B0000}"/>
    <cellStyle name="Normal 23 15 2 2" xfId="2735" xr:uid="{00000000-0005-0000-0000-00002C0B0000}"/>
    <cellStyle name="Normal 23 15 3" xfId="2736" xr:uid="{00000000-0005-0000-0000-00002D0B0000}"/>
    <cellStyle name="Normal 23 16" xfId="2737" xr:uid="{00000000-0005-0000-0000-00002E0B0000}"/>
    <cellStyle name="Normal 23 16 2" xfId="2738" xr:uid="{00000000-0005-0000-0000-00002F0B0000}"/>
    <cellStyle name="Normal 23 17" xfId="2739" xr:uid="{00000000-0005-0000-0000-0000300B0000}"/>
    <cellStyle name="Normal 23 2" xfId="2740" xr:uid="{00000000-0005-0000-0000-0000310B0000}"/>
    <cellStyle name="Normal 23 2 2" xfId="2741" xr:uid="{00000000-0005-0000-0000-0000320B0000}"/>
    <cellStyle name="Normal 23 2 2 2" xfId="2742" xr:uid="{00000000-0005-0000-0000-0000330B0000}"/>
    <cellStyle name="Normal 23 2 3" xfId="2743" xr:uid="{00000000-0005-0000-0000-0000340B0000}"/>
    <cellStyle name="Normal 23 3" xfId="2744" xr:uid="{00000000-0005-0000-0000-0000350B0000}"/>
    <cellStyle name="Normal 23 3 2" xfId="2745" xr:uid="{00000000-0005-0000-0000-0000360B0000}"/>
    <cellStyle name="Normal 23 3 2 2" xfId="2746" xr:uid="{00000000-0005-0000-0000-0000370B0000}"/>
    <cellStyle name="Normal 23 3 3" xfId="2747" xr:uid="{00000000-0005-0000-0000-0000380B0000}"/>
    <cellStyle name="Normal 23 4" xfId="2748" xr:uid="{00000000-0005-0000-0000-0000390B0000}"/>
    <cellStyle name="Normal 23 4 2" xfId="2749" xr:uid="{00000000-0005-0000-0000-00003A0B0000}"/>
    <cellStyle name="Normal 23 4 2 2" xfId="2750" xr:uid="{00000000-0005-0000-0000-00003B0B0000}"/>
    <cellStyle name="Normal 23 4 3" xfId="2751" xr:uid="{00000000-0005-0000-0000-00003C0B0000}"/>
    <cellStyle name="Normal 23 5" xfId="2752" xr:uid="{00000000-0005-0000-0000-00003D0B0000}"/>
    <cellStyle name="Normal 23 5 2" xfId="2753" xr:uid="{00000000-0005-0000-0000-00003E0B0000}"/>
    <cellStyle name="Normal 23 5 2 2" xfId="2754" xr:uid="{00000000-0005-0000-0000-00003F0B0000}"/>
    <cellStyle name="Normal 23 5 3" xfId="2755" xr:uid="{00000000-0005-0000-0000-0000400B0000}"/>
    <cellStyle name="Normal 23 6" xfId="2756" xr:uid="{00000000-0005-0000-0000-0000410B0000}"/>
    <cellStyle name="Normal 23 6 2" xfId="2757" xr:uid="{00000000-0005-0000-0000-0000420B0000}"/>
    <cellStyle name="Normal 23 6 2 2" xfId="2758" xr:uid="{00000000-0005-0000-0000-0000430B0000}"/>
    <cellStyle name="Normal 23 6 3" xfId="2759" xr:uid="{00000000-0005-0000-0000-0000440B0000}"/>
    <cellStyle name="Normal 23 7" xfId="2760" xr:uid="{00000000-0005-0000-0000-0000450B0000}"/>
    <cellStyle name="Normal 23 7 2" xfId="2761" xr:uid="{00000000-0005-0000-0000-0000460B0000}"/>
    <cellStyle name="Normal 23 7 2 2" xfId="2762" xr:uid="{00000000-0005-0000-0000-0000470B0000}"/>
    <cellStyle name="Normal 23 7 3" xfId="2763" xr:uid="{00000000-0005-0000-0000-0000480B0000}"/>
    <cellStyle name="Normal 23 8" xfId="2764" xr:uid="{00000000-0005-0000-0000-0000490B0000}"/>
    <cellStyle name="Normal 23 8 2" xfId="2765" xr:uid="{00000000-0005-0000-0000-00004A0B0000}"/>
    <cellStyle name="Normal 23 8 2 2" xfId="2766" xr:uid="{00000000-0005-0000-0000-00004B0B0000}"/>
    <cellStyle name="Normal 23 8 3" xfId="2767" xr:uid="{00000000-0005-0000-0000-00004C0B0000}"/>
    <cellStyle name="Normal 23 9" xfId="2768" xr:uid="{00000000-0005-0000-0000-00004D0B0000}"/>
    <cellStyle name="Normal 23 9 2" xfId="2769" xr:uid="{00000000-0005-0000-0000-00004E0B0000}"/>
    <cellStyle name="Normal 23 9 2 2" xfId="2770" xr:uid="{00000000-0005-0000-0000-00004F0B0000}"/>
    <cellStyle name="Normal 23 9 3" xfId="2771" xr:uid="{00000000-0005-0000-0000-0000500B0000}"/>
    <cellStyle name="Normal 24" xfId="2772" xr:uid="{00000000-0005-0000-0000-0000510B0000}"/>
    <cellStyle name="Normal 24 10" xfId="2773" xr:uid="{00000000-0005-0000-0000-0000520B0000}"/>
    <cellStyle name="Normal 24 10 2" xfId="2774" xr:uid="{00000000-0005-0000-0000-0000530B0000}"/>
    <cellStyle name="Normal 24 10 2 2" xfId="2775" xr:uid="{00000000-0005-0000-0000-0000540B0000}"/>
    <cellStyle name="Normal 24 10 3" xfId="2776" xr:uid="{00000000-0005-0000-0000-0000550B0000}"/>
    <cellStyle name="Normal 24 11" xfId="2777" xr:uid="{00000000-0005-0000-0000-0000560B0000}"/>
    <cellStyle name="Normal 24 11 2" xfId="2778" xr:uid="{00000000-0005-0000-0000-0000570B0000}"/>
    <cellStyle name="Normal 24 11 2 2" xfId="2779" xr:uid="{00000000-0005-0000-0000-0000580B0000}"/>
    <cellStyle name="Normal 24 11 3" xfId="2780" xr:uid="{00000000-0005-0000-0000-0000590B0000}"/>
    <cellStyle name="Normal 24 12" xfId="2781" xr:uid="{00000000-0005-0000-0000-00005A0B0000}"/>
    <cellStyle name="Normal 24 12 2" xfId="2782" xr:uid="{00000000-0005-0000-0000-00005B0B0000}"/>
    <cellStyle name="Normal 24 12 2 2" xfId="2783" xr:uid="{00000000-0005-0000-0000-00005C0B0000}"/>
    <cellStyle name="Normal 24 12 3" xfId="2784" xr:uid="{00000000-0005-0000-0000-00005D0B0000}"/>
    <cellStyle name="Normal 24 13" xfId="2785" xr:uid="{00000000-0005-0000-0000-00005E0B0000}"/>
    <cellStyle name="Normal 24 13 2" xfId="2786" xr:uid="{00000000-0005-0000-0000-00005F0B0000}"/>
    <cellStyle name="Normal 24 13 2 2" xfId="2787" xr:uid="{00000000-0005-0000-0000-0000600B0000}"/>
    <cellStyle name="Normal 24 13 3" xfId="2788" xr:uid="{00000000-0005-0000-0000-0000610B0000}"/>
    <cellStyle name="Normal 24 14" xfId="2789" xr:uid="{00000000-0005-0000-0000-0000620B0000}"/>
    <cellStyle name="Normal 24 14 2" xfId="2790" xr:uid="{00000000-0005-0000-0000-0000630B0000}"/>
    <cellStyle name="Normal 24 14 2 2" xfId="2791" xr:uid="{00000000-0005-0000-0000-0000640B0000}"/>
    <cellStyle name="Normal 24 14 3" xfId="2792" xr:uid="{00000000-0005-0000-0000-0000650B0000}"/>
    <cellStyle name="Normal 24 15" xfId="2793" xr:uid="{00000000-0005-0000-0000-0000660B0000}"/>
    <cellStyle name="Normal 24 15 2" xfId="2794" xr:uid="{00000000-0005-0000-0000-0000670B0000}"/>
    <cellStyle name="Normal 24 15 2 2" xfId="2795" xr:uid="{00000000-0005-0000-0000-0000680B0000}"/>
    <cellStyle name="Normal 24 15 3" xfId="2796" xr:uid="{00000000-0005-0000-0000-0000690B0000}"/>
    <cellStyle name="Normal 24 16" xfId="2797" xr:uid="{00000000-0005-0000-0000-00006A0B0000}"/>
    <cellStyle name="Normal 24 16 2" xfId="2798" xr:uid="{00000000-0005-0000-0000-00006B0B0000}"/>
    <cellStyle name="Normal 24 17" xfId="2799" xr:uid="{00000000-0005-0000-0000-00006C0B0000}"/>
    <cellStyle name="Normal 24 17 2" xfId="2800" xr:uid="{00000000-0005-0000-0000-00006D0B0000}"/>
    <cellStyle name="Normal 24 18" xfId="2801" xr:uid="{00000000-0005-0000-0000-00006E0B0000}"/>
    <cellStyle name="Normal 24 18 2" xfId="2802" xr:uid="{00000000-0005-0000-0000-00006F0B0000}"/>
    <cellStyle name="Normal 24 19" xfId="2803" xr:uid="{00000000-0005-0000-0000-0000700B0000}"/>
    <cellStyle name="Normal 24 19 2" xfId="2804" xr:uid="{00000000-0005-0000-0000-0000710B0000}"/>
    <cellStyle name="Normal 24 2" xfId="2805" xr:uid="{00000000-0005-0000-0000-0000720B0000}"/>
    <cellStyle name="Normal 24 2 2" xfId="2806" xr:uid="{00000000-0005-0000-0000-0000730B0000}"/>
    <cellStyle name="Normal 24 2 2 2" xfId="2807" xr:uid="{00000000-0005-0000-0000-0000740B0000}"/>
    <cellStyle name="Normal 24 2 3" xfId="2808" xr:uid="{00000000-0005-0000-0000-0000750B0000}"/>
    <cellStyle name="Normal 24 20" xfId="2809" xr:uid="{00000000-0005-0000-0000-0000760B0000}"/>
    <cellStyle name="Normal 24 20 2" xfId="2810" xr:uid="{00000000-0005-0000-0000-0000770B0000}"/>
    <cellStyle name="Normal 24 21" xfId="2811" xr:uid="{00000000-0005-0000-0000-0000780B0000}"/>
    <cellStyle name="Normal 24 21 2" xfId="2812" xr:uid="{00000000-0005-0000-0000-0000790B0000}"/>
    <cellStyle name="Normal 24 22" xfId="2813" xr:uid="{00000000-0005-0000-0000-00007A0B0000}"/>
    <cellStyle name="Normal 24 3" xfId="2814" xr:uid="{00000000-0005-0000-0000-00007B0B0000}"/>
    <cellStyle name="Normal 24 3 2" xfId="2815" xr:uid="{00000000-0005-0000-0000-00007C0B0000}"/>
    <cellStyle name="Normal 24 3 2 2" xfId="2816" xr:uid="{00000000-0005-0000-0000-00007D0B0000}"/>
    <cellStyle name="Normal 24 3 3" xfId="2817" xr:uid="{00000000-0005-0000-0000-00007E0B0000}"/>
    <cellStyle name="Normal 24 4" xfId="2818" xr:uid="{00000000-0005-0000-0000-00007F0B0000}"/>
    <cellStyle name="Normal 24 4 2" xfId="2819" xr:uid="{00000000-0005-0000-0000-0000800B0000}"/>
    <cellStyle name="Normal 24 4 2 2" xfId="2820" xr:uid="{00000000-0005-0000-0000-0000810B0000}"/>
    <cellStyle name="Normal 24 4 3" xfId="2821" xr:uid="{00000000-0005-0000-0000-0000820B0000}"/>
    <cellStyle name="Normal 24 5" xfId="2822" xr:uid="{00000000-0005-0000-0000-0000830B0000}"/>
    <cellStyle name="Normal 24 5 2" xfId="2823" xr:uid="{00000000-0005-0000-0000-0000840B0000}"/>
    <cellStyle name="Normal 24 5 2 2" xfId="2824" xr:uid="{00000000-0005-0000-0000-0000850B0000}"/>
    <cellStyle name="Normal 24 5 3" xfId="2825" xr:uid="{00000000-0005-0000-0000-0000860B0000}"/>
    <cellStyle name="Normal 24 6" xfId="2826" xr:uid="{00000000-0005-0000-0000-0000870B0000}"/>
    <cellStyle name="Normal 24 6 2" xfId="2827" xr:uid="{00000000-0005-0000-0000-0000880B0000}"/>
    <cellStyle name="Normal 24 6 2 2" xfId="2828" xr:uid="{00000000-0005-0000-0000-0000890B0000}"/>
    <cellStyle name="Normal 24 6 3" xfId="2829" xr:uid="{00000000-0005-0000-0000-00008A0B0000}"/>
    <cellStyle name="Normal 24 7" xfId="2830" xr:uid="{00000000-0005-0000-0000-00008B0B0000}"/>
    <cellStyle name="Normal 24 7 2" xfId="2831" xr:uid="{00000000-0005-0000-0000-00008C0B0000}"/>
    <cellStyle name="Normal 24 7 2 2" xfId="2832" xr:uid="{00000000-0005-0000-0000-00008D0B0000}"/>
    <cellStyle name="Normal 24 7 3" xfId="2833" xr:uid="{00000000-0005-0000-0000-00008E0B0000}"/>
    <cellStyle name="Normal 24 8" xfId="2834" xr:uid="{00000000-0005-0000-0000-00008F0B0000}"/>
    <cellStyle name="Normal 24 8 2" xfId="2835" xr:uid="{00000000-0005-0000-0000-0000900B0000}"/>
    <cellStyle name="Normal 24 8 2 2" xfId="2836" xr:uid="{00000000-0005-0000-0000-0000910B0000}"/>
    <cellStyle name="Normal 24 8 3" xfId="2837" xr:uid="{00000000-0005-0000-0000-0000920B0000}"/>
    <cellStyle name="Normal 24 9" xfId="2838" xr:uid="{00000000-0005-0000-0000-0000930B0000}"/>
    <cellStyle name="Normal 24 9 2" xfId="2839" xr:uid="{00000000-0005-0000-0000-0000940B0000}"/>
    <cellStyle name="Normal 24 9 2 2" xfId="2840" xr:uid="{00000000-0005-0000-0000-0000950B0000}"/>
    <cellStyle name="Normal 24 9 3" xfId="2841" xr:uid="{00000000-0005-0000-0000-0000960B0000}"/>
    <cellStyle name="Normal 25" xfId="2842" xr:uid="{00000000-0005-0000-0000-0000970B0000}"/>
    <cellStyle name="Normal 25 10" xfId="2843" xr:uid="{00000000-0005-0000-0000-0000980B0000}"/>
    <cellStyle name="Normal 25 10 2" xfId="2844" xr:uid="{00000000-0005-0000-0000-0000990B0000}"/>
    <cellStyle name="Normal 25 10 2 2" xfId="2845" xr:uid="{00000000-0005-0000-0000-00009A0B0000}"/>
    <cellStyle name="Normal 25 10 3" xfId="2846" xr:uid="{00000000-0005-0000-0000-00009B0B0000}"/>
    <cellStyle name="Normal 25 11" xfId="2847" xr:uid="{00000000-0005-0000-0000-00009C0B0000}"/>
    <cellStyle name="Normal 25 11 2" xfId="2848" xr:uid="{00000000-0005-0000-0000-00009D0B0000}"/>
    <cellStyle name="Normal 25 11 2 2" xfId="2849" xr:uid="{00000000-0005-0000-0000-00009E0B0000}"/>
    <cellStyle name="Normal 25 11 3" xfId="2850" xr:uid="{00000000-0005-0000-0000-00009F0B0000}"/>
    <cellStyle name="Normal 25 12" xfId="2851" xr:uid="{00000000-0005-0000-0000-0000A00B0000}"/>
    <cellStyle name="Normal 25 12 2" xfId="2852" xr:uid="{00000000-0005-0000-0000-0000A10B0000}"/>
    <cellStyle name="Normal 25 12 2 2" xfId="2853" xr:uid="{00000000-0005-0000-0000-0000A20B0000}"/>
    <cellStyle name="Normal 25 12 3" xfId="2854" xr:uid="{00000000-0005-0000-0000-0000A30B0000}"/>
    <cellStyle name="Normal 25 13" xfId="2855" xr:uid="{00000000-0005-0000-0000-0000A40B0000}"/>
    <cellStyle name="Normal 25 13 2" xfId="2856" xr:uid="{00000000-0005-0000-0000-0000A50B0000}"/>
    <cellStyle name="Normal 25 13 2 2" xfId="2857" xr:uid="{00000000-0005-0000-0000-0000A60B0000}"/>
    <cellStyle name="Normal 25 13 3" xfId="2858" xr:uid="{00000000-0005-0000-0000-0000A70B0000}"/>
    <cellStyle name="Normal 25 14" xfId="2859" xr:uid="{00000000-0005-0000-0000-0000A80B0000}"/>
    <cellStyle name="Normal 25 14 2" xfId="2860" xr:uid="{00000000-0005-0000-0000-0000A90B0000}"/>
    <cellStyle name="Normal 25 14 2 2" xfId="2861" xr:uid="{00000000-0005-0000-0000-0000AA0B0000}"/>
    <cellStyle name="Normal 25 14 3" xfId="2862" xr:uid="{00000000-0005-0000-0000-0000AB0B0000}"/>
    <cellStyle name="Normal 25 15" xfId="2863" xr:uid="{00000000-0005-0000-0000-0000AC0B0000}"/>
    <cellStyle name="Normal 25 15 2" xfId="2864" xr:uid="{00000000-0005-0000-0000-0000AD0B0000}"/>
    <cellStyle name="Normal 25 15 2 2" xfId="2865" xr:uid="{00000000-0005-0000-0000-0000AE0B0000}"/>
    <cellStyle name="Normal 25 15 3" xfId="2866" xr:uid="{00000000-0005-0000-0000-0000AF0B0000}"/>
    <cellStyle name="Normal 25 16" xfId="2867" xr:uid="{00000000-0005-0000-0000-0000B00B0000}"/>
    <cellStyle name="Normal 25 16 2" xfId="2868" xr:uid="{00000000-0005-0000-0000-0000B10B0000}"/>
    <cellStyle name="Normal 25 17" xfId="2869" xr:uid="{00000000-0005-0000-0000-0000B20B0000}"/>
    <cellStyle name="Normal 25 17 2" xfId="2870" xr:uid="{00000000-0005-0000-0000-0000B30B0000}"/>
    <cellStyle name="Normal 25 18" xfId="2871" xr:uid="{00000000-0005-0000-0000-0000B40B0000}"/>
    <cellStyle name="Normal 25 18 2" xfId="2872" xr:uid="{00000000-0005-0000-0000-0000B50B0000}"/>
    <cellStyle name="Normal 25 19" xfId="2873" xr:uid="{00000000-0005-0000-0000-0000B60B0000}"/>
    <cellStyle name="Normal 25 19 2" xfId="2874" xr:uid="{00000000-0005-0000-0000-0000B70B0000}"/>
    <cellStyle name="Normal 25 2" xfId="2875" xr:uid="{00000000-0005-0000-0000-0000B80B0000}"/>
    <cellStyle name="Normal 25 2 2" xfId="2876" xr:uid="{00000000-0005-0000-0000-0000B90B0000}"/>
    <cellStyle name="Normal 25 2 2 2" xfId="2877" xr:uid="{00000000-0005-0000-0000-0000BA0B0000}"/>
    <cellStyle name="Normal 25 2 3" xfId="2878" xr:uid="{00000000-0005-0000-0000-0000BB0B0000}"/>
    <cellStyle name="Normal 25 20" xfId="2879" xr:uid="{00000000-0005-0000-0000-0000BC0B0000}"/>
    <cellStyle name="Normal 25 20 2" xfId="2880" xr:uid="{00000000-0005-0000-0000-0000BD0B0000}"/>
    <cellStyle name="Normal 25 21" xfId="2881" xr:uid="{00000000-0005-0000-0000-0000BE0B0000}"/>
    <cellStyle name="Normal 25 21 2" xfId="2882" xr:uid="{00000000-0005-0000-0000-0000BF0B0000}"/>
    <cellStyle name="Normal 25 22" xfId="2883" xr:uid="{00000000-0005-0000-0000-0000C00B0000}"/>
    <cellStyle name="Normal 25 3" xfId="2884" xr:uid="{00000000-0005-0000-0000-0000C10B0000}"/>
    <cellStyle name="Normal 25 3 2" xfId="2885" xr:uid="{00000000-0005-0000-0000-0000C20B0000}"/>
    <cellStyle name="Normal 25 3 2 2" xfId="2886" xr:uid="{00000000-0005-0000-0000-0000C30B0000}"/>
    <cellStyle name="Normal 25 3 3" xfId="2887" xr:uid="{00000000-0005-0000-0000-0000C40B0000}"/>
    <cellStyle name="Normal 25 4" xfId="2888" xr:uid="{00000000-0005-0000-0000-0000C50B0000}"/>
    <cellStyle name="Normal 25 4 2" xfId="2889" xr:uid="{00000000-0005-0000-0000-0000C60B0000}"/>
    <cellStyle name="Normal 25 4 2 2" xfId="2890" xr:uid="{00000000-0005-0000-0000-0000C70B0000}"/>
    <cellStyle name="Normal 25 4 3" xfId="2891" xr:uid="{00000000-0005-0000-0000-0000C80B0000}"/>
    <cellStyle name="Normal 25 5" xfId="2892" xr:uid="{00000000-0005-0000-0000-0000C90B0000}"/>
    <cellStyle name="Normal 25 5 2" xfId="2893" xr:uid="{00000000-0005-0000-0000-0000CA0B0000}"/>
    <cellStyle name="Normal 25 5 2 2" xfId="2894" xr:uid="{00000000-0005-0000-0000-0000CB0B0000}"/>
    <cellStyle name="Normal 25 5 3" xfId="2895" xr:uid="{00000000-0005-0000-0000-0000CC0B0000}"/>
    <cellStyle name="Normal 25 6" xfId="2896" xr:uid="{00000000-0005-0000-0000-0000CD0B0000}"/>
    <cellStyle name="Normal 25 6 2" xfId="2897" xr:uid="{00000000-0005-0000-0000-0000CE0B0000}"/>
    <cellStyle name="Normal 25 6 2 2" xfId="2898" xr:uid="{00000000-0005-0000-0000-0000CF0B0000}"/>
    <cellStyle name="Normal 25 6 3" xfId="2899" xr:uid="{00000000-0005-0000-0000-0000D00B0000}"/>
    <cellStyle name="Normal 25 7" xfId="2900" xr:uid="{00000000-0005-0000-0000-0000D10B0000}"/>
    <cellStyle name="Normal 25 7 2" xfId="2901" xr:uid="{00000000-0005-0000-0000-0000D20B0000}"/>
    <cellStyle name="Normal 25 7 2 2" xfId="2902" xr:uid="{00000000-0005-0000-0000-0000D30B0000}"/>
    <cellStyle name="Normal 25 7 3" xfId="2903" xr:uid="{00000000-0005-0000-0000-0000D40B0000}"/>
    <cellStyle name="Normal 25 8" xfId="2904" xr:uid="{00000000-0005-0000-0000-0000D50B0000}"/>
    <cellStyle name="Normal 25 8 2" xfId="2905" xr:uid="{00000000-0005-0000-0000-0000D60B0000}"/>
    <cellStyle name="Normal 25 8 2 2" xfId="2906" xr:uid="{00000000-0005-0000-0000-0000D70B0000}"/>
    <cellStyle name="Normal 25 8 3" xfId="2907" xr:uid="{00000000-0005-0000-0000-0000D80B0000}"/>
    <cellStyle name="Normal 25 9" xfId="2908" xr:uid="{00000000-0005-0000-0000-0000D90B0000}"/>
    <cellStyle name="Normal 25 9 2" xfId="2909" xr:uid="{00000000-0005-0000-0000-0000DA0B0000}"/>
    <cellStyle name="Normal 25 9 2 2" xfId="2910" xr:uid="{00000000-0005-0000-0000-0000DB0B0000}"/>
    <cellStyle name="Normal 25 9 3" xfId="2911" xr:uid="{00000000-0005-0000-0000-0000DC0B0000}"/>
    <cellStyle name="Normal 26" xfId="2912" xr:uid="{00000000-0005-0000-0000-0000DD0B0000}"/>
    <cellStyle name="Normal 26 10" xfId="2913" xr:uid="{00000000-0005-0000-0000-0000DE0B0000}"/>
    <cellStyle name="Normal 26 10 2" xfId="2914" xr:uid="{00000000-0005-0000-0000-0000DF0B0000}"/>
    <cellStyle name="Normal 26 10 2 2" xfId="2915" xr:uid="{00000000-0005-0000-0000-0000E00B0000}"/>
    <cellStyle name="Normal 26 10 3" xfId="2916" xr:uid="{00000000-0005-0000-0000-0000E10B0000}"/>
    <cellStyle name="Normal 26 11" xfId="2917" xr:uid="{00000000-0005-0000-0000-0000E20B0000}"/>
    <cellStyle name="Normal 26 11 2" xfId="2918" xr:uid="{00000000-0005-0000-0000-0000E30B0000}"/>
    <cellStyle name="Normal 26 11 2 2" xfId="2919" xr:uid="{00000000-0005-0000-0000-0000E40B0000}"/>
    <cellStyle name="Normal 26 11 3" xfId="2920" xr:uid="{00000000-0005-0000-0000-0000E50B0000}"/>
    <cellStyle name="Normal 26 12" xfId="2921" xr:uid="{00000000-0005-0000-0000-0000E60B0000}"/>
    <cellStyle name="Normal 26 12 2" xfId="2922" xr:uid="{00000000-0005-0000-0000-0000E70B0000}"/>
    <cellStyle name="Normal 26 12 2 2" xfId="2923" xr:uid="{00000000-0005-0000-0000-0000E80B0000}"/>
    <cellStyle name="Normal 26 12 3" xfId="2924" xr:uid="{00000000-0005-0000-0000-0000E90B0000}"/>
    <cellStyle name="Normal 26 13" xfId="2925" xr:uid="{00000000-0005-0000-0000-0000EA0B0000}"/>
    <cellStyle name="Normal 26 13 2" xfId="2926" xr:uid="{00000000-0005-0000-0000-0000EB0B0000}"/>
    <cellStyle name="Normal 26 13 2 2" xfId="2927" xr:uid="{00000000-0005-0000-0000-0000EC0B0000}"/>
    <cellStyle name="Normal 26 13 3" xfId="2928" xr:uid="{00000000-0005-0000-0000-0000ED0B0000}"/>
    <cellStyle name="Normal 26 14" xfId="2929" xr:uid="{00000000-0005-0000-0000-0000EE0B0000}"/>
    <cellStyle name="Normal 26 14 2" xfId="2930" xr:uid="{00000000-0005-0000-0000-0000EF0B0000}"/>
    <cellStyle name="Normal 26 14 2 2" xfId="2931" xr:uid="{00000000-0005-0000-0000-0000F00B0000}"/>
    <cellStyle name="Normal 26 14 3" xfId="2932" xr:uid="{00000000-0005-0000-0000-0000F10B0000}"/>
    <cellStyle name="Normal 26 15" xfId="2933" xr:uid="{00000000-0005-0000-0000-0000F20B0000}"/>
    <cellStyle name="Normal 26 15 2" xfId="2934" xr:uid="{00000000-0005-0000-0000-0000F30B0000}"/>
    <cellStyle name="Normal 26 15 2 2" xfId="2935" xr:uid="{00000000-0005-0000-0000-0000F40B0000}"/>
    <cellStyle name="Normal 26 15 3" xfId="2936" xr:uid="{00000000-0005-0000-0000-0000F50B0000}"/>
    <cellStyle name="Normal 26 16" xfId="2937" xr:uid="{00000000-0005-0000-0000-0000F60B0000}"/>
    <cellStyle name="Normal 26 16 2" xfId="2938" xr:uid="{00000000-0005-0000-0000-0000F70B0000}"/>
    <cellStyle name="Normal 26 17" xfId="2939" xr:uid="{00000000-0005-0000-0000-0000F80B0000}"/>
    <cellStyle name="Normal 26 2" xfId="2940" xr:uid="{00000000-0005-0000-0000-0000F90B0000}"/>
    <cellStyle name="Normal 26 2 2" xfId="2941" xr:uid="{00000000-0005-0000-0000-0000FA0B0000}"/>
    <cellStyle name="Normal 26 2 2 2" xfId="2942" xr:uid="{00000000-0005-0000-0000-0000FB0B0000}"/>
    <cellStyle name="Normal 26 2 3" xfId="2943" xr:uid="{00000000-0005-0000-0000-0000FC0B0000}"/>
    <cellStyle name="Normal 26 3" xfId="2944" xr:uid="{00000000-0005-0000-0000-0000FD0B0000}"/>
    <cellStyle name="Normal 26 3 2" xfId="2945" xr:uid="{00000000-0005-0000-0000-0000FE0B0000}"/>
    <cellStyle name="Normal 26 3 2 2" xfId="2946" xr:uid="{00000000-0005-0000-0000-0000FF0B0000}"/>
    <cellStyle name="Normal 26 3 3" xfId="2947" xr:uid="{00000000-0005-0000-0000-0000000C0000}"/>
    <cellStyle name="Normal 26 4" xfId="2948" xr:uid="{00000000-0005-0000-0000-0000010C0000}"/>
    <cellStyle name="Normal 26 4 2" xfId="2949" xr:uid="{00000000-0005-0000-0000-0000020C0000}"/>
    <cellStyle name="Normal 26 4 2 2" xfId="2950" xr:uid="{00000000-0005-0000-0000-0000030C0000}"/>
    <cellStyle name="Normal 26 4 3" xfId="2951" xr:uid="{00000000-0005-0000-0000-0000040C0000}"/>
    <cellStyle name="Normal 26 5" xfId="2952" xr:uid="{00000000-0005-0000-0000-0000050C0000}"/>
    <cellStyle name="Normal 26 5 2" xfId="2953" xr:uid="{00000000-0005-0000-0000-0000060C0000}"/>
    <cellStyle name="Normal 26 5 2 2" xfId="2954" xr:uid="{00000000-0005-0000-0000-0000070C0000}"/>
    <cellStyle name="Normal 26 5 3" xfId="2955" xr:uid="{00000000-0005-0000-0000-0000080C0000}"/>
    <cellStyle name="Normal 26 6" xfId="2956" xr:uid="{00000000-0005-0000-0000-0000090C0000}"/>
    <cellStyle name="Normal 26 6 2" xfId="2957" xr:uid="{00000000-0005-0000-0000-00000A0C0000}"/>
    <cellStyle name="Normal 26 6 2 2" xfId="2958" xr:uid="{00000000-0005-0000-0000-00000B0C0000}"/>
    <cellStyle name="Normal 26 6 3" xfId="2959" xr:uid="{00000000-0005-0000-0000-00000C0C0000}"/>
    <cellStyle name="Normal 26 7" xfId="2960" xr:uid="{00000000-0005-0000-0000-00000D0C0000}"/>
    <cellStyle name="Normal 26 7 2" xfId="2961" xr:uid="{00000000-0005-0000-0000-00000E0C0000}"/>
    <cellStyle name="Normal 26 7 2 2" xfId="2962" xr:uid="{00000000-0005-0000-0000-00000F0C0000}"/>
    <cellStyle name="Normal 26 7 3" xfId="2963" xr:uid="{00000000-0005-0000-0000-0000100C0000}"/>
    <cellStyle name="Normal 26 8" xfId="2964" xr:uid="{00000000-0005-0000-0000-0000110C0000}"/>
    <cellStyle name="Normal 26 8 2" xfId="2965" xr:uid="{00000000-0005-0000-0000-0000120C0000}"/>
    <cellStyle name="Normal 26 8 2 2" xfId="2966" xr:uid="{00000000-0005-0000-0000-0000130C0000}"/>
    <cellStyle name="Normal 26 8 3" xfId="2967" xr:uid="{00000000-0005-0000-0000-0000140C0000}"/>
    <cellStyle name="Normal 26 9" xfId="2968" xr:uid="{00000000-0005-0000-0000-0000150C0000}"/>
    <cellStyle name="Normal 26 9 2" xfId="2969" xr:uid="{00000000-0005-0000-0000-0000160C0000}"/>
    <cellStyle name="Normal 26 9 2 2" xfId="2970" xr:uid="{00000000-0005-0000-0000-0000170C0000}"/>
    <cellStyle name="Normal 26 9 3" xfId="2971" xr:uid="{00000000-0005-0000-0000-0000180C0000}"/>
    <cellStyle name="Normal 27" xfId="2972" xr:uid="{00000000-0005-0000-0000-0000190C0000}"/>
    <cellStyle name="Normal 27 10" xfId="2973" xr:uid="{00000000-0005-0000-0000-00001A0C0000}"/>
    <cellStyle name="Normal 27 10 2" xfId="2974" xr:uid="{00000000-0005-0000-0000-00001B0C0000}"/>
    <cellStyle name="Normal 27 10 2 2" xfId="2975" xr:uid="{00000000-0005-0000-0000-00001C0C0000}"/>
    <cellStyle name="Normal 27 10 3" xfId="2976" xr:uid="{00000000-0005-0000-0000-00001D0C0000}"/>
    <cellStyle name="Normal 27 11" xfId="2977" xr:uid="{00000000-0005-0000-0000-00001E0C0000}"/>
    <cellStyle name="Normal 27 11 2" xfId="2978" xr:uid="{00000000-0005-0000-0000-00001F0C0000}"/>
    <cellStyle name="Normal 27 11 2 2" xfId="2979" xr:uid="{00000000-0005-0000-0000-0000200C0000}"/>
    <cellStyle name="Normal 27 11 3" xfId="2980" xr:uid="{00000000-0005-0000-0000-0000210C0000}"/>
    <cellStyle name="Normal 27 12" xfId="2981" xr:uid="{00000000-0005-0000-0000-0000220C0000}"/>
    <cellStyle name="Normal 27 12 2" xfId="2982" xr:uid="{00000000-0005-0000-0000-0000230C0000}"/>
    <cellStyle name="Normal 27 12 2 2" xfId="2983" xr:uid="{00000000-0005-0000-0000-0000240C0000}"/>
    <cellStyle name="Normal 27 12 3" xfId="2984" xr:uid="{00000000-0005-0000-0000-0000250C0000}"/>
    <cellStyle name="Normal 27 13" xfId="2985" xr:uid="{00000000-0005-0000-0000-0000260C0000}"/>
    <cellStyle name="Normal 27 13 2" xfId="2986" xr:uid="{00000000-0005-0000-0000-0000270C0000}"/>
    <cellStyle name="Normal 27 13 2 2" xfId="2987" xr:uid="{00000000-0005-0000-0000-0000280C0000}"/>
    <cellStyle name="Normal 27 13 3" xfId="2988" xr:uid="{00000000-0005-0000-0000-0000290C0000}"/>
    <cellStyle name="Normal 27 14" xfId="2989" xr:uid="{00000000-0005-0000-0000-00002A0C0000}"/>
    <cellStyle name="Normal 27 14 2" xfId="2990" xr:uid="{00000000-0005-0000-0000-00002B0C0000}"/>
    <cellStyle name="Normal 27 14 2 2" xfId="2991" xr:uid="{00000000-0005-0000-0000-00002C0C0000}"/>
    <cellStyle name="Normal 27 14 3" xfId="2992" xr:uid="{00000000-0005-0000-0000-00002D0C0000}"/>
    <cellStyle name="Normal 27 15" xfId="2993" xr:uid="{00000000-0005-0000-0000-00002E0C0000}"/>
    <cellStyle name="Normal 27 15 2" xfId="2994" xr:uid="{00000000-0005-0000-0000-00002F0C0000}"/>
    <cellStyle name="Normal 27 15 2 2" xfId="2995" xr:uid="{00000000-0005-0000-0000-0000300C0000}"/>
    <cellStyle name="Normal 27 15 3" xfId="2996" xr:uid="{00000000-0005-0000-0000-0000310C0000}"/>
    <cellStyle name="Normal 27 16" xfId="2997" xr:uid="{00000000-0005-0000-0000-0000320C0000}"/>
    <cellStyle name="Normal 27 16 2" xfId="2998" xr:uid="{00000000-0005-0000-0000-0000330C0000}"/>
    <cellStyle name="Normal 27 17" xfId="2999" xr:uid="{00000000-0005-0000-0000-0000340C0000}"/>
    <cellStyle name="Normal 27 17 2" xfId="3000" xr:uid="{00000000-0005-0000-0000-0000350C0000}"/>
    <cellStyle name="Normal 27 18" xfId="3001" xr:uid="{00000000-0005-0000-0000-0000360C0000}"/>
    <cellStyle name="Normal 27 18 2" xfId="3002" xr:uid="{00000000-0005-0000-0000-0000370C0000}"/>
    <cellStyle name="Normal 27 19" xfId="3003" xr:uid="{00000000-0005-0000-0000-0000380C0000}"/>
    <cellStyle name="Normal 27 19 2" xfId="3004" xr:uid="{00000000-0005-0000-0000-0000390C0000}"/>
    <cellStyle name="Normal 27 2" xfId="3005" xr:uid="{00000000-0005-0000-0000-00003A0C0000}"/>
    <cellStyle name="Normal 27 2 2" xfId="3006" xr:uid="{00000000-0005-0000-0000-00003B0C0000}"/>
    <cellStyle name="Normal 27 2 2 2" xfId="3007" xr:uid="{00000000-0005-0000-0000-00003C0C0000}"/>
    <cellStyle name="Normal 27 2 3" xfId="3008" xr:uid="{00000000-0005-0000-0000-00003D0C0000}"/>
    <cellStyle name="Normal 27 20" xfId="3009" xr:uid="{00000000-0005-0000-0000-00003E0C0000}"/>
    <cellStyle name="Normal 27 20 2" xfId="3010" xr:uid="{00000000-0005-0000-0000-00003F0C0000}"/>
    <cellStyle name="Normal 27 21" xfId="3011" xr:uid="{00000000-0005-0000-0000-0000400C0000}"/>
    <cellStyle name="Normal 27 21 2" xfId="3012" xr:uid="{00000000-0005-0000-0000-0000410C0000}"/>
    <cellStyle name="Normal 27 22" xfId="3013" xr:uid="{00000000-0005-0000-0000-0000420C0000}"/>
    <cellStyle name="Normal 27 3" xfId="3014" xr:uid="{00000000-0005-0000-0000-0000430C0000}"/>
    <cellStyle name="Normal 27 3 2" xfId="3015" xr:uid="{00000000-0005-0000-0000-0000440C0000}"/>
    <cellStyle name="Normal 27 3 2 2" xfId="3016" xr:uid="{00000000-0005-0000-0000-0000450C0000}"/>
    <cellStyle name="Normal 27 3 3" xfId="3017" xr:uid="{00000000-0005-0000-0000-0000460C0000}"/>
    <cellStyle name="Normal 27 4" xfId="3018" xr:uid="{00000000-0005-0000-0000-0000470C0000}"/>
    <cellStyle name="Normal 27 4 2" xfId="3019" xr:uid="{00000000-0005-0000-0000-0000480C0000}"/>
    <cellStyle name="Normal 27 4 2 2" xfId="3020" xr:uid="{00000000-0005-0000-0000-0000490C0000}"/>
    <cellStyle name="Normal 27 4 3" xfId="3021" xr:uid="{00000000-0005-0000-0000-00004A0C0000}"/>
    <cellStyle name="Normal 27 5" xfId="3022" xr:uid="{00000000-0005-0000-0000-00004B0C0000}"/>
    <cellStyle name="Normal 27 5 2" xfId="3023" xr:uid="{00000000-0005-0000-0000-00004C0C0000}"/>
    <cellStyle name="Normal 27 5 2 2" xfId="3024" xr:uid="{00000000-0005-0000-0000-00004D0C0000}"/>
    <cellStyle name="Normal 27 5 3" xfId="3025" xr:uid="{00000000-0005-0000-0000-00004E0C0000}"/>
    <cellStyle name="Normal 27 6" xfId="3026" xr:uid="{00000000-0005-0000-0000-00004F0C0000}"/>
    <cellStyle name="Normal 27 6 2" xfId="3027" xr:uid="{00000000-0005-0000-0000-0000500C0000}"/>
    <cellStyle name="Normal 27 6 2 2" xfId="3028" xr:uid="{00000000-0005-0000-0000-0000510C0000}"/>
    <cellStyle name="Normal 27 6 3" xfId="3029" xr:uid="{00000000-0005-0000-0000-0000520C0000}"/>
    <cellStyle name="Normal 27 7" xfId="3030" xr:uid="{00000000-0005-0000-0000-0000530C0000}"/>
    <cellStyle name="Normal 27 7 2" xfId="3031" xr:uid="{00000000-0005-0000-0000-0000540C0000}"/>
    <cellStyle name="Normal 27 7 2 2" xfId="3032" xr:uid="{00000000-0005-0000-0000-0000550C0000}"/>
    <cellStyle name="Normal 27 7 3" xfId="3033" xr:uid="{00000000-0005-0000-0000-0000560C0000}"/>
    <cellStyle name="Normal 27 8" xfId="3034" xr:uid="{00000000-0005-0000-0000-0000570C0000}"/>
    <cellStyle name="Normal 27 8 2" xfId="3035" xr:uid="{00000000-0005-0000-0000-0000580C0000}"/>
    <cellStyle name="Normal 27 8 2 2" xfId="3036" xr:uid="{00000000-0005-0000-0000-0000590C0000}"/>
    <cellStyle name="Normal 27 8 3" xfId="3037" xr:uid="{00000000-0005-0000-0000-00005A0C0000}"/>
    <cellStyle name="Normal 27 9" xfId="3038" xr:uid="{00000000-0005-0000-0000-00005B0C0000}"/>
    <cellStyle name="Normal 27 9 2" xfId="3039" xr:uid="{00000000-0005-0000-0000-00005C0C0000}"/>
    <cellStyle name="Normal 27 9 2 2" xfId="3040" xr:uid="{00000000-0005-0000-0000-00005D0C0000}"/>
    <cellStyle name="Normal 27 9 3" xfId="3041" xr:uid="{00000000-0005-0000-0000-00005E0C0000}"/>
    <cellStyle name="Normal 28" xfId="3042" xr:uid="{00000000-0005-0000-0000-00005F0C0000}"/>
    <cellStyle name="Normal 28 10" xfId="3043" xr:uid="{00000000-0005-0000-0000-0000600C0000}"/>
    <cellStyle name="Normal 28 10 2" xfId="3044" xr:uid="{00000000-0005-0000-0000-0000610C0000}"/>
    <cellStyle name="Normal 28 10 2 2" xfId="3045" xr:uid="{00000000-0005-0000-0000-0000620C0000}"/>
    <cellStyle name="Normal 28 10 3" xfId="3046" xr:uid="{00000000-0005-0000-0000-0000630C0000}"/>
    <cellStyle name="Normal 28 11" xfId="3047" xr:uid="{00000000-0005-0000-0000-0000640C0000}"/>
    <cellStyle name="Normal 28 11 2" xfId="3048" xr:uid="{00000000-0005-0000-0000-0000650C0000}"/>
    <cellStyle name="Normal 28 11 2 2" xfId="3049" xr:uid="{00000000-0005-0000-0000-0000660C0000}"/>
    <cellStyle name="Normal 28 11 3" xfId="3050" xr:uid="{00000000-0005-0000-0000-0000670C0000}"/>
    <cellStyle name="Normal 28 12" xfId="3051" xr:uid="{00000000-0005-0000-0000-0000680C0000}"/>
    <cellStyle name="Normal 28 12 2" xfId="3052" xr:uid="{00000000-0005-0000-0000-0000690C0000}"/>
    <cellStyle name="Normal 28 12 2 2" xfId="3053" xr:uid="{00000000-0005-0000-0000-00006A0C0000}"/>
    <cellStyle name="Normal 28 12 3" xfId="3054" xr:uid="{00000000-0005-0000-0000-00006B0C0000}"/>
    <cellStyle name="Normal 28 13" xfId="3055" xr:uid="{00000000-0005-0000-0000-00006C0C0000}"/>
    <cellStyle name="Normal 28 13 2" xfId="3056" xr:uid="{00000000-0005-0000-0000-00006D0C0000}"/>
    <cellStyle name="Normal 28 13 2 2" xfId="3057" xr:uid="{00000000-0005-0000-0000-00006E0C0000}"/>
    <cellStyle name="Normal 28 13 3" xfId="3058" xr:uid="{00000000-0005-0000-0000-00006F0C0000}"/>
    <cellStyle name="Normal 28 14" xfId="3059" xr:uid="{00000000-0005-0000-0000-0000700C0000}"/>
    <cellStyle name="Normal 28 14 2" xfId="3060" xr:uid="{00000000-0005-0000-0000-0000710C0000}"/>
    <cellStyle name="Normal 28 14 2 2" xfId="3061" xr:uid="{00000000-0005-0000-0000-0000720C0000}"/>
    <cellStyle name="Normal 28 14 3" xfId="3062" xr:uid="{00000000-0005-0000-0000-0000730C0000}"/>
    <cellStyle name="Normal 28 15" xfId="3063" xr:uid="{00000000-0005-0000-0000-0000740C0000}"/>
    <cellStyle name="Normal 28 15 2" xfId="3064" xr:uid="{00000000-0005-0000-0000-0000750C0000}"/>
    <cellStyle name="Normal 28 15 2 2" xfId="3065" xr:uid="{00000000-0005-0000-0000-0000760C0000}"/>
    <cellStyle name="Normal 28 15 3" xfId="3066" xr:uid="{00000000-0005-0000-0000-0000770C0000}"/>
    <cellStyle name="Normal 28 16" xfId="3067" xr:uid="{00000000-0005-0000-0000-0000780C0000}"/>
    <cellStyle name="Normal 28 16 2" xfId="3068" xr:uid="{00000000-0005-0000-0000-0000790C0000}"/>
    <cellStyle name="Normal 28 17" xfId="3069" xr:uid="{00000000-0005-0000-0000-00007A0C0000}"/>
    <cellStyle name="Normal 28 2" xfId="3070" xr:uid="{00000000-0005-0000-0000-00007B0C0000}"/>
    <cellStyle name="Normal 28 2 2" xfId="3071" xr:uid="{00000000-0005-0000-0000-00007C0C0000}"/>
    <cellStyle name="Normal 28 2 2 2" xfId="3072" xr:uid="{00000000-0005-0000-0000-00007D0C0000}"/>
    <cellStyle name="Normal 28 2 3" xfId="3073" xr:uid="{00000000-0005-0000-0000-00007E0C0000}"/>
    <cellStyle name="Normal 28 3" xfId="3074" xr:uid="{00000000-0005-0000-0000-00007F0C0000}"/>
    <cellStyle name="Normal 28 3 2" xfId="3075" xr:uid="{00000000-0005-0000-0000-0000800C0000}"/>
    <cellStyle name="Normal 28 3 2 2" xfId="3076" xr:uid="{00000000-0005-0000-0000-0000810C0000}"/>
    <cellStyle name="Normal 28 3 3" xfId="3077" xr:uid="{00000000-0005-0000-0000-0000820C0000}"/>
    <cellStyle name="Normal 28 4" xfId="3078" xr:uid="{00000000-0005-0000-0000-0000830C0000}"/>
    <cellStyle name="Normal 28 4 2" xfId="3079" xr:uid="{00000000-0005-0000-0000-0000840C0000}"/>
    <cellStyle name="Normal 28 4 2 2" xfId="3080" xr:uid="{00000000-0005-0000-0000-0000850C0000}"/>
    <cellStyle name="Normal 28 4 3" xfId="3081" xr:uid="{00000000-0005-0000-0000-0000860C0000}"/>
    <cellStyle name="Normal 28 5" xfId="3082" xr:uid="{00000000-0005-0000-0000-0000870C0000}"/>
    <cellStyle name="Normal 28 5 2" xfId="3083" xr:uid="{00000000-0005-0000-0000-0000880C0000}"/>
    <cellStyle name="Normal 28 5 2 2" xfId="3084" xr:uid="{00000000-0005-0000-0000-0000890C0000}"/>
    <cellStyle name="Normal 28 5 3" xfId="3085" xr:uid="{00000000-0005-0000-0000-00008A0C0000}"/>
    <cellStyle name="Normal 28 6" xfId="3086" xr:uid="{00000000-0005-0000-0000-00008B0C0000}"/>
    <cellStyle name="Normal 28 6 2" xfId="3087" xr:uid="{00000000-0005-0000-0000-00008C0C0000}"/>
    <cellStyle name="Normal 28 6 2 2" xfId="3088" xr:uid="{00000000-0005-0000-0000-00008D0C0000}"/>
    <cellStyle name="Normal 28 6 3" xfId="3089" xr:uid="{00000000-0005-0000-0000-00008E0C0000}"/>
    <cellStyle name="Normal 28 7" xfId="3090" xr:uid="{00000000-0005-0000-0000-00008F0C0000}"/>
    <cellStyle name="Normal 28 7 2" xfId="3091" xr:uid="{00000000-0005-0000-0000-0000900C0000}"/>
    <cellStyle name="Normal 28 7 2 2" xfId="3092" xr:uid="{00000000-0005-0000-0000-0000910C0000}"/>
    <cellStyle name="Normal 28 7 3" xfId="3093" xr:uid="{00000000-0005-0000-0000-0000920C0000}"/>
    <cellStyle name="Normal 28 8" xfId="3094" xr:uid="{00000000-0005-0000-0000-0000930C0000}"/>
    <cellStyle name="Normal 28 8 2" xfId="3095" xr:uid="{00000000-0005-0000-0000-0000940C0000}"/>
    <cellStyle name="Normal 28 8 2 2" xfId="3096" xr:uid="{00000000-0005-0000-0000-0000950C0000}"/>
    <cellStyle name="Normal 28 8 3" xfId="3097" xr:uid="{00000000-0005-0000-0000-0000960C0000}"/>
    <cellStyle name="Normal 28 9" xfId="3098" xr:uid="{00000000-0005-0000-0000-0000970C0000}"/>
    <cellStyle name="Normal 28 9 2" xfId="3099" xr:uid="{00000000-0005-0000-0000-0000980C0000}"/>
    <cellStyle name="Normal 28 9 2 2" xfId="3100" xr:uid="{00000000-0005-0000-0000-0000990C0000}"/>
    <cellStyle name="Normal 28 9 3" xfId="3101" xr:uid="{00000000-0005-0000-0000-00009A0C0000}"/>
    <cellStyle name="Normal 29" xfId="3102" xr:uid="{00000000-0005-0000-0000-00009B0C0000}"/>
    <cellStyle name="Normal 29 10" xfId="3103" xr:uid="{00000000-0005-0000-0000-00009C0C0000}"/>
    <cellStyle name="Normal 29 10 2" xfId="3104" xr:uid="{00000000-0005-0000-0000-00009D0C0000}"/>
    <cellStyle name="Normal 29 10 2 2" xfId="3105" xr:uid="{00000000-0005-0000-0000-00009E0C0000}"/>
    <cellStyle name="Normal 29 10 3" xfId="3106" xr:uid="{00000000-0005-0000-0000-00009F0C0000}"/>
    <cellStyle name="Normal 29 11" xfId="3107" xr:uid="{00000000-0005-0000-0000-0000A00C0000}"/>
    <cellStyle name="Normal 29 11 2" xfId="3108" xr:uid="{00000000-0005-0000-0000-0000A10C0000}"/>
    <cellStyle name="Normal 29 11 2 2" xfId="3109" xr:uid="{00000000-0005-0000-0000-0000A20C0000}"/>
    <cellStyle name="Normal 29 11 3" xfId="3110" xr:uid="{00000000-0005-0000-0000-0000A30C0000}"/>
    <cellStyle name="Normal 29 12" xfId="3111" xr:uid="{00000000-0005-0000-0000-0000A40C0000}"/>
    <cellStyle name="Normal 29 12 2" xfId="3112" xr:uid="{00000000-0005-0000-0000-0000A50C0000}"/>
    <cellStyle name="Normal 29 12 2 2" xfId="3113" xr:uid="{00000000-0005-0000-0000-0000A60C0000}"/>
    <cellStyle name="Normal 29 12 3" xfId="3114" xr:uid="{00000000-0005-0000-0000-0000A70C0000}"/>
    <cellStyle name="Normal 29 13" xfId="3115" xr:uid="{00000000-0005-0000-0000-0000A80C0000}"/>
    <cellStyle name="Normal 29 13 2" xfId="3116" xr:uid="{00000000-0005-0000-0000-0000A90C0000}"/>
    <cellStyle name="Normal 29 13 2 2" xfId="3117" xr:uid="{00000000-0005-0000-0000-0000AA0C0000}"/>
    <cellStyle name="Normal 29 13 3" xfId="3118" xr:uid="{00000000-0005-0000-0000-0000AB0C0000}"/>
    <cellStyle name="Normal 29 14" xfId="3119" xr:uid="{00000000-0005-0000-0000-0000AC0C0000}"/>
    <cellStyle name="Normal 29 14 2" xfId="3120" xr:uid="{00000000-0005-0000-0000-0000AD0C0000}"/>
    <cellStyle name="Normal 29 14 2 2" xfId="3121" xr:uid="{00000000-0005-0000-0000-0000AE0C0000}"/>
    <cellStyle name="Normal 29 14 3" xfId="3122" xr:uid="{00000000-0005-0000-0000-0000AF0C0000}"/>
    <cellStyle name="Normal 29 15" xfId="3123" xr:uid="{00000000-0005-0000-0000-0000B00C0000}"/>
    <cellStyle name="Normal 29 15 2" xfId="3124" xr:uid="{00000000-0005-0000-0000-0000B10C0000}"/>
    <cellStyle name="Normal 29 15 2 2" xfId="3125" xr:uid="{00000000-0005-0000-0000-0000B20C0000}"/>
    <cellStyle name="Normal 29 15 3" xfId="3126" xr:uid="{00000000-0005-0000-0000-0000B30C0000}"/>
    <cellStyle name="Normal 29 16" xfId="3127" xr:uid="{00000000-0005-0000-0000-0000B40C0000}"/>
    <cellStyle name="Normal 29 16 2" xfId="3128" xr:uid="{00000000-0005-0000-0000-0000B50C0000}"/>
    <cellStyle name="Normal 29 17" xfId="3129" xr:uid="{00000000-0005-0000-0000-0000B60C0000}"/>
    <cellStyle name="Normal 29 2" xfId="3130" xr:uid="{00000000-0005-0000-0000-0000B70C0000}"/>
    <cellStyle name="Normal 29 2 2" xfId="3131" xr:uid="{00000000-0005-0000-0000-0000B80C0000}"/>
    <cellStyle name="Normal 29 2 2 2" xfId="3132" xr:uid="{00000000-0005-0000-0000-0000B90C0000}"/>
    <cellStyle name="Normal 29 2 3" xfId="3133" xr:uid="{00000000-0005-0000-0000-0000BA0C0000}"/>
    <cellStyle name="Normal 29 3" xfId="3134" xr:uid="{00000000-0005-0000-0000-0000BB0C0000}"/>
    <cellStyle name="Normal 29 3 2" xfId="3135" xr:uid="{00000000-0005-0000-0000-0000BC0C0000}"/>
    <cellStyle name="Normal 29 3 2 2" xfId="3136" xr:uid="{00000000-0005-0000-0000-0000BD0C0000}"/>
    <cellStyle name="Normal 29 3 3" xfId="3137" xr:uid="{00000000-0005-0000-0000-0000BE0C0000}"/>
    <cellStyle name="Normal 29 4" xfId="3138" xr:uid="{00000000-0005-0000-0000-0000BF0C0000}"/>
    <cellStyle name="Normal 29 4 2" xfId="3139" xr:uid="{00000000-0005-0000-0000-0000C00C0000}"/>
    <cellStyle name="Normal 29 4 2 2" xfId="3140" xr:uid="{00000000-0005-0000-0000-0000C10C0000}"/>
    <cellStyle name="Normal 29 4 3" xfId="3141" xr:uid="{00000000-0005-0000-0000-0000C20C0000}"/>
    <cellStyle name="Normal 29 5" xfId="3142" xr:uid="{00000000-0005-0000-0000-0000C30C0000}"/>
    <cellStyle name="Normal 29 5 2" xfId="3143" xr:uid="{00000000-0005-0000-0000-0000C40C0000}"/>
    <cellStyle name="Normal 29 5 2 2" xfId="3144" xr:uid="{00000000-0005-0000-0000-0000C50C0000}"/>
    <cellStyle name="Normal 29 5 3" xfId="3145" xr:uid="{00000000-0005-0000-0000-0000C60C0000}"/>
    <cellStyle name="Normal 29 6" xfId="3146" xr:uid="{00000000-0005-0000-0000-0000C70C0000}"/>
    <cellStyle name="Normal 29 6 2" xfId="3147" xr:uid="{00000000-0005-0000-0000-0000C80C0000}"/>
    <cellStyle name="Normal 29 6 2 2" xfId="3148" xr:uid="{00000000-0005-0000-0000-0000C90C0000}"/>
    <cellStyle name="Normal 29 6 3" xfId="3149" xr:uid="{00000000-0005-0000-0000-0000CA0C0000}"/>
    <cellStyle name="Normal 29 7" xfId="3150" xr:uid="{00000000-0005-0000-0000-0000CB0C0000}"/>
    <cellStyle name="Normal 29 7 2" xfId="3151" xr:uid="{00000000-0005-0000-0000-0000CC0C0000}"/>
    <cellStyle name="Normal 29 7 2 2" xfId="3152" xr:uid="{00000000-0005-0000-0000-0000CD0C0000}"/>
    <cellStyle name="Normal 29 7 3" xfId="3153" xr:uid="{00000000-0005-0000-0000-0000CE0C0000}"/>
    <cellStyle name="Normal 29 8" xfId="3154" xr:uid="{00000000-0005-0000-0000-0000CF0C0000}"/>
    <cellStyle name="Normal 29 8 2" xfId="3155" xr:uid="{00000000-0005-0000-0000-0000D00C0000}"/>
    <cellStyle name="Normal 29 8 2 2" xfId="3156" xr:uid="{00000000-0005-0000-0000-0000D10C0000}"/>
    <cellStyle name="Normal 29 8 3" xfId="3157" xr:uid="{00000000-0005-0000-0000-0000D20C0000}"/>
    <cellStyle name="Normal 29 9" xfId="3158" xr:uid="{00000000-0005-0000-0000-0000D30C0000}"/>
    <cellStyle name="Normal 29 9 2" xfId="3159" xr:uid="{00000000-0005-0000-0000-0000D40C0000}"/>
    <cellStyle name="Normal 29 9 2 2" xfId="3160" xr:uid="{00000000-0005-0000-0000-0000D50C0000}"/>
    <cellStyle name="Normal 29 9 3" xfId="3161" xr:uid="{00000000-0005-0000-0000-0000D60C0000}"/>
    <cellStyle name="Normal 3" xfId="123" xr:uid="{00000000-0005-0000-0000-0000D70C0000}"/>
    <cellStyle name="Normal 3 2" xfId="124" xr:uid="{00000000-0005-0000-0000-0000D80C0000}"/>
    <cellStyle name="Normal 3 2 2" xfId="3162" xr:uid="{00000000-0005-0000-0000-0000D90C0000}"/>
    <cellStyle name="Normal 3 2 3" xfId="3163" xr:uid="{00000000-0005-0000-0000-0000DA0C0000}"/>
    <cellStyle name="Normal 3 2 4" xfId="4157" xr:uid="{00000000-0005-0000-0000-0000DB0C0000}"/>
    <cellStyle name="Normal 3 3" xfId="3164" xr:uid="{00000000-0005-0000-0000-0000DC0C0000}"/>
    <cellStyle name="Normal 3 3 2" xfId="3165" xr:uid="{00000000-0005-0000-0000-0000DD0C0000}"/>
    <cellStyle name="Normal 3 4" xfId="3166" xr:uid="{00000000-0005-0000-0000-0000DE0C0000}"/>
    <cellStyle name="Normal 3 4 2" xfId="3167" xr:uid="{00000000-0005-0000-0000-0000DF0C0000}"/>
    <cellStyle name="Normal 3 5" xfId="3168" xr:uid="{00000000-0005-0000-0000-0000E00C0000}"/>
    <cellStyle name="Normal 3 5 2" xfId="3169" xr:uid="{00000000-0005-0000-0000-0000E10C0000}"/>
    <cellStyle name="Normal 3 6" xfId="3170" xr:uid="{00000000-0005-0000-0000-0000E20C0000}"/>
    <cellStyle name="Normal 3 6 2" xfId="3171" xr:uid="{00000000-0005-0000-0000-0000E30C0000}"/>
    <cellStyle name="Normal 3 7" xfId="3172" xr:uid="{00000000-0005-0000-0000-0000E40C0000}"/>
    <cellStyle name="Normal 3_Attach O, GG, Support -New Method 2-14-11" xfId="4228" xr:uid="{00000000-0005-0000-0000-0000E50C0000}"/>
    <cellStyle name="Normal 30" xfId="3173" xr:uid="{00000000-0005-0000-0000-0000E60C0000}"/>
    <cellStyle name="Normal 30 10" xfId="3174" xr:uid="{00000000-0005-0000-0000-0000E70C0000}"/>
    <cellStyle name="Normal 30 10 2" xfId="3175" xr:uid="{00000000-0005-0000-0000-0000E80C0000}"/>
    <cellStyle name="Normal 30 10 2 2" xfId="3176" xr:uid="{00000000-0005-0000-0000-0000E90C0000}"/>
    <cellStyle name="Normal 30 10 3" xfId="3177" xr:uid="{00000000-0005-0000-0000-0000EA0C0000}"/>
    <cellStyle name="Normal 30 11" xfId="3178" xr:uid="{00000000-0005-0000-0000-0000EB0C0000}"/>
    <cellStyle name="Normal 30 11 2" xfId="3179" xr:uid="{00000000-0005-0000-0000-0000EC0C0000}"/>
    <cellStyle name="Normal 30 11 2 2" xfId="3180" xr:uid="{00000000-0005-0000-0000-0000ED0C0000}"/>
    <cellStyle name="Normal 30 11 3" xfId="3181" xr:uid="{00000000-0005-0000-0000-0000EE0C0000}"/>
    <cellStyle name="Normal 30 12" xfId="3182" xr:uid="{00000000-0005-0000-0000-0000EF0C0000}"/>
    <cellStyle name="Normal 30 12 2" xfId="3183" xr:uid="{00000000-0005-0000-0000-0000F00C0000}"/>
    <cellStyle name="Normal 30 12 2 2" xfId="3184" xr:uid="{00000000-0005-0000-0000-0000F10C0000}"/>
    <cellStyle name="Normal 30 12 3" xfId="3185" xr:uid="{00000000-0005-0000-0000-0000F20C0000}"/>
    <cellStyle name="Normal 30 13" xfId="3186" xr:uid="{00000000-0005-0000-0000-0000F30C0000}"/>
    <cellStyle name="Normal 30 13 2" xfId="3187" xr:uid="{00000000-0005-0000-0000-0000F40C0000}"/>
    <cellStyle name="Normal 30 13 2 2" xfId="3188" xr:uid="{00000000-0005-0000-0000-0000F50C0000}"/>
    <cellStyle name="Normal 30 13 3" xfId="3189" xr:uid="{00000000-0005-0000-0000-0000F60C0000}"/>
    <cellStyle name="Normal 30 14" xfId="3190" xr:uid="{00000000-0005-0000-0000-0000F70C0000}"/>
    <cellStyle name="Normal 30 14 2" xfId="3191" xr:uid="{00000000-0005-0000-0000-0000F80C0000}"/>
    <cellStyle name="Normal 30 14 2 2" xfId="3192" xr:uid="{00000000-0005-0000-0000-0000F90C0000}"/>
    <cellStyle name="Normal 30 14 3" xfId="3193" xr:uid="{00000000-0005-0000-0000-0000FA0C0000}"/>
    <cellStyle name="Normal 30 15" xfId="3194" xr:uid="{00000000-0005-0000-0000-0000FB0C0000}"/>
    <cellStyle name="Normal 30 15 2" xfId="3195" xr:uid="{00000000-0005-0000-0000-0000FC0C0000}"/>
    <cellStyle name="Normal 30 15 2 2" xfId="3196" xr:uid="{00000000-0005-0000-0000-0000FD0C0000}"/>
    <cellStyle name="Normal 30 15 3" xfId="3197" xr:uid="{00000000-0005-0000-0000-0000FE0C0000}"/>
    <cellStyle name="Normal 30 16" xfId="3198" xr:uid="{00000000-0005-0000-0000-0000FF0C0000}"/>
    <cellStyle name="Normal 30 16 2" xfId="3199" xr:uid="{00000000-0005-0000-0000-0000000D0000}"/>
    <cellStyle name="Normal 30 17" xfId="3200" xr:uid="{00000000-0005-0000-0000-0000010D0000}"/>
    <cellStyle name="Normal 30 17 2" xfId="3201" xr:uid="{00000000-0005-0000-0000-0000020D0000}"/>
    <cellStyle name="Normal 30 18" xfId="3202" xr:uid="{00000000-0005-0000-0000-0000030D0000}"/>
    <cellStyle name="Normal 30 18 2" xfId="3203" xr:uid="{00000000-0005-0000-0000-0000040D0000}"/>
    <cellStyle name="Normal 30 19" xfId="3204" xr:uid="{00000000-0005-0000-0000-0000050D0000}"/>
    <cellStyle name="Normal 30 19 2" xfId="3205" xr:uid="{00000000-0005-0000-0000-0000060D0000}"/>
    <cellStyle name="Normal 30 2" xfId="3206" xr:uid="{00000000-0005-0000-0000-0000070D0000}"/>
    <cellStyle name="Normal 30 2 2" xfId="3207" xr:uid="{00000000-0005-0000-0000-0000080D0000}"/>
    <cellStyle name="Normal 30 2 2 2" xfId="3208" xr:uid="{00000000-0005-0000-0000-0000090D0000}"/>
    <cellStyle name="Normal 30 2 3" xfId="3209" xr:uid="{00000000-0005-0000-0000-00000A0D0000}"/>
    <cellStyle name="Normal 30 20" xfId="3210" xr:uid="{00000000-0005-0000-0000-00000B0D0000}"/>
    <cellStyle name="Normal 30 20 2" xfId="3211" xr:uid="{00000000-0005-0000-0000-00000C0D0000}"/>
    <cellStyle name="Normal 30 21" xfId="3212" xr:uid="{00000000-0005-0000-0000-00000D0D0000}"/>
    <cellStyle name="Normal 30 21 2" xfId="3213" xr:uid="{00000000-0005-0000-0000-00000E0D0000}"/>
    <cellStyle name="Normal 30 22" xfId="3214" xr:uid="{00000000-0005-0000-0000-00000F0D0000}"/>
    <cellStyle name="Normal 30 3" xfId="3215" xr:uid="{00000000-0005-0000-0000-0000100D0000}"/>
    <cellStyle name="Normal 30 3 2" xfId="3216" xr:uid="{00000000-0005-0000-0000-0000110D0000}"/>
    <cellStyle name="Normal 30 3 2 2" xfId="3217" xr:uid="{00000000-0005-0000-0000-0000120D0000}"/>
    <cellStyle name="Normal 30 3 3" xfId="3218" xr:uid="{00000000-0005-0000-0000-0000130D0000}"/>
    <cellStyle name="Normal 30 4" xfId="3219" xr:uid="{00000000-0005-0000-0000-0000140D0000}"/>
    <cellStyle name="Normal 30 4 2" xfId="3220" xr:uid="{00000000-0005-0000-0000-0000150D0000}"/>
    <cellStyle name="Normal 30 4 2 2" xfId="3221" xr:uid="{00000000-0005-0000-0000-0000160D0000}"/>
    <cellStyle name="Normal 30 4 3" xfId="3222" xr:uid="{00000000-0005-0000-0000-0000170D0000}"/>
    <cellStyle name="Normal 30 5" xfId="3223" xr:uid="{00000000-0005-0000-0000-0000180D0000}"/>
    <cellStyle name="Normal 30 5 2" xfId="3224" xr:uid="{00000000-0005-0000-0000-0000190D0000}"/>
    <cellStyle name="Normal 30 5 2 2" xfId="3225" xr:uid="{00000000-0005-0000-0000-00001A0D0000}"/>
    <cellStyle name="Normal 30 5 3" xfId="3226" xr:uid="{00000000-0005-0000-0000-00001B0D0000}"/>
    <cellStyle name="Normal 30 6" xfId="3227" xr:uid="{00000000-0005-0000-0000-00001C0D0000}"/>
    <cellStyle name="Normal 30 6 2" xfId="3228" xr:uid="{00000000-0005-0000-0000-00001D0D0000}"/>
    <cellStyle name="Normal 30 6 2 2" xfId="3229" xr:uid="{00000000-0005-0000-0000-00001E0D0000}"/>
    <cellStyle name="Normal 30 6 3" xfId="3230" xr:uid="{00000000-0005-0000-0000-00001F0D0000}"/>
    <cellStyle name="Normal 30 7" xfId="3231" xr:uid="{00000000-0005-0000-0000-0000200D0000}"/>
    <cellStyle name="Normal 30 7 2" xfId="3232" xr:uid="{00000000-0005-0000-0000-0000210D0000}"/>
    <cellStyle name="Normal 30 7 2 2" xfId="3233" xr:uid="{00000000-0005-0000-0000-0000220D0000}"/>
    <cellStyle name="Normal 30 7 3" xfId="3234" xr:uid="{00000000-0005-0000-0000-0000230D0000}"/>
    <cellStyle name="Normal 30 8" xfId="3235" xr:uid="{00000000-0005-0000-0000-0000240D0000}"/>
    <cellStyle name="Normal 30 8 2" xfId="3236" xr:uid="{00000000-0005-0000-0000-0000250D0000}"/>
    <cellStyle name="Normal 30 8 2 2" xfId="3237" xr:uid="{00000000-0005-0000-0000-0000260D0000}"/>
    <cellStyle name="Normal 30 8 3" xfId="3238" xr:uid="{00000000-0005-0000-0000-0000270D0000}"/>
    <cellStyle name="Normal 30 9" xfId="3239" xr:uid="{00000000-0005-0000-0000-0000280D0000}"/>
    <cellStyle name="Normal 30 9 2" xfId="3240" xr:uid="{00000000-0005-0000-0000-0000290D0000}"/>
    <cellStyle name="Normal 30 9 2 2" xfId="3241" xr:uid="{00000000-0005-0000-0000-00002A0D0000}"/>
    <cellStyle name="Normal 30 9 3" xfId="3242" xr:uid="{00000000-0005-0000-0000-00002B0D0000}"/>
    <cellStyle name="Normal 31" xfId="3243" xr:uid="{00000000-0005-0000-0000-00002C0D0000}"/>
    <cellStyle name="Normal 31 10" xfId="3244" xr:uid="{00000000-0005-0000-0000-00002D0D0000}"/>
    <cellStyle name="Normal 31 10 2" xfId="3245" xr:uid="{00000000-0005-0000-0000-00002E0D0000}"/>
    <cellStyle name="Normal 31 10 2 2" xfId="3246" xr:uid="{00000000-0005-0000-0000-00002F0D0000}"/>
    <cellStyle name="Normal 31 10 3" xfId="3247" xr:uid="{00000000-0005-0000-0000-0000300D0000}"/>
    <cellStyle name="Normal 31 10 3 2" xfId="3248" xr:uid="{00000000-0005-0000-0000-0000310D0000}"/>
    <cellStyle name="Normal 31 10 4" xfId="3249" xr:uid="{00000000-0005-0000-0000-0000320D0000}"/>
    <cellStyle name="Normal 31 11" xfId="3250" xr:uid="{00000000-0005-0000-0000-0000330D0000}"/>
    <cellStyle name="Normal 31 11 2" xfId="3251" xr:uid="{00000000-0005-0000-0000-0000340D0000}"/>
    <cellStyle name="Normal 31 11 2 2" xfId="3252" xr:uid="{00000000-0005-0000-0000-0000350D0000}"/>
    <cellStyle name="Normal 31 11 3" xfId="3253" xr:uid="{00000000-0005-0000-0000-0000360D0000}"/>
    <cellStyle name="Normal 31 12" xfId="3254" xr:uid="{00000000-0005-0000-0000-0000370D0000}"/>
    <cellStyle name="Normal 31 12 2" xfId="3255" xr:uid="{00000000-0005-0000-0000-0000380D0000}"/>
    <cellStyle name="Normal 31 12 2 2" xfId="3256" xr:uid="{00000000-0005-0000-0000-0000390D0000}"/>
    <cellStyle name="Normal 31 12 3" xfId="3257" xr:uid="{00000000-0005-0000-0000-00003A0D0000}"/>
    <cellStyle name="Normal 31 13" xfId="3258" xr:uid="{00000000-0005-0000-0000-00003B0D0000}"/>
    <cellStyle name="Normal 31 13 2" xfId="3259" xr:uid="{00000000-0005-0000-0000-00003C0D0000}"/>
    <cellStyle name="Normal 31 13 2 2" xfId="3260" xr:uid="{00000000-0005-0000-0000-00003D0D0000}"/>
    <cellStyle name="Normal 31 13 3" xfId="3261" xr:uid="{00000000-0005-0000-0000-00003E0D0000}"/>
    <cellStyle name="Normal 31 14" xfId="3262" xr:uid="{00000000-0005-0000-0000-00003F0D0000}"/>
    <cellStyle name="Normal 31 14 2" xfId="3263" xr:uid="{00000000-0005-0000-0000-0000400D0000}"/>
    <cellStyle name="Normal 31 14 2 2" xfId="3264" xr:uid="{00000000-0005-0000-0000-0000410D0000}"/>
    <cellStyle name="Normal 31 14 3" xfId="3265" xr:uid="{00000000-0005-0000-0000-0000420D0000}"/>
    <cellStyle name="Normal 31 15" xfId="3266" xr:uid="{00000000-0005-0000-0000-0000430D0000}"/>
    <cellStyle name="Normal 31 15 2" xfId="3267" xr:uid="{00000000-0005-0000-0000-0000440D0000}"/>
    <cellStyle name="Normal 31 15 2 2" xfId="3268" xr:uid="{00000000-0005-0000-0000-0000450D0000}"/>
    <cellStyle name="Normal 31 15 3" xfId="3269" xr:uid="{00000000-0005-0000-0000-0000460D0000}"/>
    <cellStyle name="Normal 31 16" xfId="3270" xr:uid="{00000000-0005-0000-0000-0000470D0000}"/>
    <cellStyle name="Normal 31 16 2" xfId="3271" xr:uid="{00000000-0005-0000-0000-0000480D0000}"/>
    <cellStyle name="Normal 31 17" xfId="3272" xr:uid="{00000000-0005-0000-0000-0000490D0000}"/>
    <cellStyle name="Normal 31 17 2" xfId="3273" xr:uid="{00000000-0005-0000-0000-00004A0D0000}"/>
    <cellStyle name="Normal 31 2" xfId="3274" xr:uid="{00000000-0005-0000-0000-00004B0D0000}"/>
    <cellStyle name="Normal 31 2 2" xfId="3275" xr:uid="{00000000-0005-0000-0000-00004C0D0000}"/>
    <cellStyle name="Normal 31 2 2 2" xfId="3276" xr:uid="{00000000-0005-0000-0000-00004D0D0000}"/>
    <cellStyle name="Normal 31 2 3" xfId="3277" xr:uid="{00000000-0005-0000-0000-00004E0D0000}"/>
    <cellStyle name="Normal 31 3" xfId="3278" xr:uid="{00000000-0005-0000-0000-00004F0D0000}"/>
    <cellStyle name="Normal 31 3 2" xfId="3279" xr:uid="{00000000-0005-0000-0000-0000500D0000}"/>
    <cellStyle name="Normal 31 3 2 2" xfId="3280" xr:uid="{00000000-0005-0000-0000-0000510D0000}"/>
    <cellStyle name="Normal 31 3 3" xfId="3281" xr:uid="{00000000-0005-0000-0000-0000520D0000}"/>
    <cellStyle name="Normal 31 4" xfId="3282" xr:uid="{00000000-0005-0000-0000-0000530D0000}"/>
    <cellStyle name="Normal 31 4 2" xfId="3283" xr:uid="{00000000-0005-0000-0000-0000540D0000}"/>
    <cellStyle name="Normal 31 4 2 2" xfId="3284" xr:uid="{00000000-0005-0000-0000-0000550D0000}"/>
    <cellStyle name="Normal 31 4 3" xfId="3285" xr:uid="{00000000-0005-0000-0000-0000560D0000}"/>
    <cellStyle name="Normal 31 5" xfId="3286" xr:uid="{00000000-0005-0000-0000-0000570D0000}"/>
    <cellStyle name="Normal 31 5 2" xfId="3287" xr:uid="{00000000-0005-0000-0000-0000580D0000}"/>
    <cellStyle name="Normal 31 5 2 2" xfId="3288" xr:uid="{00000000-0005-0000-0000-0000590D0000}"/>
    <cellStyle name="Normal 31 5 3" xfId="3289" xr:uid="{00000000-0005-0000-0000-00005A0D0000}"/>
    <cellStyle name="Normal 31 6" xfId="3290" xr:uid="{00000000-0005-0000-0000-00005B0D0000}"/>
    <cellStyle name="Normal 31 6 2" xfId="3291" xr:uid="{00000000-0005-0000-0000-00005C0D0000}"/>
    <cellStyle name="Normal 31 6 2 2" xfId="3292" xr:uid="{00000000-0005-0000-0000-00005D0D0000}"/>
    <cellStyle name="Normal 31 6 3" xfId="3293" xr:uid="{00000000-0005-0000-0000-00005E0D0000}"/>
    <cellStyle name="Normal 31 7" xfId="3294" xr:uid="{00000000-0005-0000-0000-00005F0D0000}"/>
    <cellStyle name="Normal 31 7 2" xfId="3295" xr:uid="{00000000-0005-0000-0000-0000600D0000}"/>
    <cellStyle name="Normal 31 7 2 2" xfId="3296" xr:uid="{00000000-0005-0000-0000-0000610D0000}"/>
    <cellStyle name="Normal 31 7 3" xfId="3297" xr:uid="{00000000-0005-0000-0000-0000620D0000}"/>
    <cellStyle name="Normal 31 8" xfId="3298" xr:uid="{00000000-0005-0000-0000-0000630D0000}"/>
    <cellStyle name="Normal 31 8 2" xfId="3299" xr:uid="{00000000-0005-0000-0000-0000640D0000}"/>
    <cellStyle name="Normal 31 8 2 2" xfId="3300" xr:uid="{00000000-0005-0000-0000-0000650D0000}"/>
    <cellStyle name="Normal 31 8 3" xfId="3301" xr:uid="{00000000-0005-0000-0000-0000660D0000}"/>
    <cellStyle name="Normal 31 9" xfId="3302" xr:uid="{00000000-0005-0000-0000-0000670D0000}"/>
    <cellStyle name="Normal 31 9 2" xfId="3303" xr:uid="{00000000-0005-0000-0000-0000680D0000}"/>
    <cellStyle name="Normal 31 9 2 2" xfId="3304" xr:uid="{00000000-0005-0000-0000-0000690D0000}"/>
    <cellStyle name="Normal 31 9 3" xfId="3305" xr:uid="{00000000-0005-0000-0000-00006A0D0000}"/>
    <cellStyle name="Normal 32" xfId="3306" xr:uid="{00000000-0005-0000-0000-00006B0D0000}"/>
    <cellStyle name="Normal 32 10" xfId="3307" xr:uid="{00000000-0005-0000-0000-00006C0D0000}"/>
    <cellStyle name="Normal 32 10 2" xfId="3308" xr:uid="{00000000-0005-0000-0000-00006D0D0000}"/>
    <cellStyle name="Normal 32 10 2 2" xfId="3309" xr:uid="{00000000-0005-0000-0000-00006E0D0000}"/>
    <cellStyle name="Normal 32 10 3" xfId="3310" xr:uid="{00000000-0005-0000-0000-00006F0D0000}"/>
    <cellStyle name="Normal 32 10 3 2" xfId="3311" xr:uid="{00000000-0005-0000-0000-0000700D0000}"/>
    <cellStyle name="Normal 32 10 4" xfId="3312" xr:uid="{00000000-0005-0000-0000-0000710D0000}"/>
    <cellStyle name="Normal 32 11" xfId="3313" xr:uid="{00000000-0005-0000-0000-0000720D0000}"/>
    <cellStyle name="Normal 32 11 2" xfId="3314" xr:uid="{00000000-0005-0000-0000-0000730D0000}"/>
    <cellStyle name="Normal 32 11 2 2" xfId="3315" xr:uid="{00000000-0005-0000-0000-0000740D0000}"/>
    <cellStyle name="Normal 32 11 3" xfId="3316" xr:uid="{00000000-0005-0000-0000-0000750D0000}"/>
    <cellStyle name="Normal 32 12" xfId="3317" xr:uid="{00000000-0005-0000-0000-0000760D0000}"/>
    <cellStyle name="Normal 32 12 2" xfId="3318" xr:uid="{00000000-0005-0000-0000-0000770D0000}"/>
    <cellStyle name="Normal 32 12 2 2" xfId="3319" xr:uid="{00000000-0005-0000-0000-0000780D0000}"/>
    <cellStyle name="Normal 32 12 3" xfId="3320" xr:uid="{00000000-0005-0000-0000-0000790D0000}"/>
    <cellStyle name="Normal 32 13" xfId="3321" xr:uid="{00000000-0005-0000-0000-00007A0D0000}"/>
    <cellStyle name="Normal 32 13 2" xfId="3322" xr:uid="{00000000-0005-0000-0000-00007B0D0000}"/>
    <cellStyle name="Normal 32 13 2 2" xfId="3323" xr:uid="{00000000-0005-0000-0000-00007C0D0000}"/>
    <cellStyle name="Normal 32 13 3" xfId="3324" xr:uid="{00000000-0005-0000-0000-00007D0D0000}"/>
    <cellStyle name="Normal 32 14" xfId="3325" xr:uid="{00000000-0005-0000-0000-00007E0D0000}"/>
    <cellStyle name="Normal 32 14 2" xfId="3326" xr:uid="{00000000-0005-0000-0000-00007F0D0000}"/>
    <cellStyle name="Normal 32 14 2 2" xfId="3327" xr:uid="{00000000-0005-0000-0000-0000800D0000}"/>
    <cellStyle name="Normal 32 14 3" xfId="3328" xr:uid="{00000000-0005-0000-0000-0000810D0000}"/>
    <cellStyle name="Normal 32 15" xfId="3329" xr:uid="{00000000-0005-0000-0000-0000820D0000}"/>
    <cellStyle name="Normal 32 15 2" xfId="3330" xr:uid="{00000000-0005-0000-0000-0000830D0000}"/>
    <cellStyle name="Normal 32 15 2 2" xfId="3331" xr:uid="{00000000-0005-0000-0000-0000840D0000}"/>
    <cellStyle name="Normal 32 15 3" xfId="3332" xr:uid="{00000000-0005-0000-0000-0000850D0000}"/>
    <cellStyle name="Normal 32 16" xfId="3333" xr:uid="{00000000-0005-0000-0000-0000860D0000}"/>
    <cellStyle name="Normal 32 16 2" xfId="3334" xr:uid="{00000000-0005-0000-0000-0000870D0000}"/>
    <cellStyle name="Normal 32 2" xfId="3335" xr:uid="{00000000-0005-0000-0000-0000880D0000}"/>
    <cellStyle name="Normal 32 2 2" xfId="3336" xr:uid="{00000000-0005-0000-0000-0000890D0000}"/>
    <cellStyle name="Normal 32 2 2 2" xfId="3337" xr:uid="{00000000-0005-0000-0000-00008A0D0000}"/>
    <cellStyle name="Normal 32 2 3" xfId="3338" xr:uid="{00000000-0005-0000-0000-00008B0D0000}"/>
    <cellStyle name="Normal 32 3" xfId="3339" xr:uid="{00000000-0005-0000-0000-00008C0D0000}"/>
    <cellStyle name="Normal 32 3 2" xfId="3340" xr:uid="{00000000-0005-0000-0000-00008D0D0000}"/>
    <cellStyle name="Normal 32 3 2 2" xfId="3341" xr:uid="{00000000-0005-0000-0000-00008E0D0000}"/>
    <cellStyle name="Normal 32 3 3" xfId="3342" xr:uid="{00000000-0005-0000-0000-00008F0D0000}"/>
    <cellStyle name="Normal 32 4" xfId="3343" xr:uid="{00000000-0005-0000-0000-0000900D0000}"/>
    <cellStyle name="Normal 32 4 2" xfId="3344" xr:uid="{00000000-0005-0000-0000-0000910D0000}"/>
    <cellStyle name="Normal 32 4 2 2" xfId="3345" xr:uid="{00000000-0005-0000-0000-0000920D0000}"/>
    <cellStyle name="Normal 32 4 3" xfId="3346" xr:uid="{00000000-0005-0000-0000-0000930D0000}"/>
    <cellStyle name="Normal 32 5" xfId="3347" xr:uid="{00000000-0005-0000-0000-0000940D0000}"/>
    <cellStyle name="Normal 32 5 2" xfId="3348" xr:uid="{00000000-0005-0000-0000-0000950D0000}"/>
    <cellStyle name="Normal 32 5 2 2" xfId="3349" xr:uid="{00000000-0005-0000-0000-0000960D0000}"/>
    <cellStyle name="Normal 32 5 3" xfId="3350" xr:uid="{00000000-0005-0000-0000-0000970D0000}"/>
    <cellStyle name="Normal 32 6" xfId="3351" xr:uid="{00000000-0005-0000-0000-0000980D0000}"/>
    <cellStyle name="Normal 32 6 2" xfId="3352" xr:uid="{00000000-0005-0000-0000-0000990D0000}"/>
    <cellStyle name="Normal 32 6 2 2" xfId="3353" xr:uid="{00000000-0005-0000-0000-00009A0D0000}"/>
    <cellStyle name="Normal 32 6 3" xfId="3354" xr:uid="{00000000-0005-0000-0000-00009B0D0000}"/>
    <cellStyle name="Normal 32 7" xfId="3355" xr:uid="{00000000-0005-0000-0000-00009C0D0000}"/>
    <cellStyle name="Normal 32 7 2" xfId="3356" xr:uid="{00000000-0005-0000-0000-00009D0D0000}"/>
    <cellStyle name="Normal 32 7 2 2" xfId="3357" xr:uid="{00000000-0005-0000-0000-00009E0D0000}"/>
    <cellStyle name="Normal 32 7 3" xfId="3358" xr:uid="{00000000-0005-0000-0000-00009F0D0000}"/>
    <cellStyle name="Normal 32 8" xfId="3359" xr:uid="{00000000-0005-0000-0000-0000A00D0000}"/>
    <cellStyle name="Normal 32 8 2" xfId="3360" xr:uid="{00000000-0005-0000-0000-0000A10D0000}"/>
    <cellStyle name="Normal 32 8 2 2" xfId="3361" xr:uid="{00000000-0005-0000-0000-0000A20D0000}"/>
    <cellStyle name="Normal 32 8 3" xfId="3362" xr:uid="{00000000-0005-0000-0000-0000A30D0000}"/>
    <cellStyle name="Normal 32 9" xfId="3363" xr:uid="{00000000-0005-0000-0000-0000A40D0000}"/>
    <cellStyle name="Normal 32 9 2" xfId="3364" xr:uid="{00000000-0005-0000-0000-0000A50D0000}"/>
    <cellStyle name="Normal 32 9 2 2" xfId="3365" xr:uid="{00000000-0005-0000-0000-0000A60D0000}"/>
    <cellStyle name="Normal 32 9 3" xfId="3366" xr:uid="{00000000-0005-0000-0000-0000A70D0000}"/>
    <cellStyle name="Normal 33" xfId="3367" xr:uid="{00000000-0005-0000-0000-0000A80D0000}"/>
    <cellStyle name="Normal 33 2" xfId="3368" xr:uid="{00000000-0005-0000-0000-0000A90D0000}"/>
    <cellStyle name="Normal 33 2 2" xfId="3369" xr:uid="{00000000-0005-0000-0000-0000AA0D0000}"/>
    <cellStyle name="Normal 33 3" xfId="3370" xr:uid="{00000000-0005-0000-0000-0000AB0D0000}"/>
    <cellStyle name="Normal 33 3 2" xfId="3371" xr:uid="{00000000-0005-0000-0000-0000AC0D0000}"/>
    <cellStyle name="Normal 33 4" xfId="3372" xr:uid="{00000000-0005-0000-0000-0000AD0D0000}"/>
    <cellStyle name="Normal 33 4 2" xfId="3373" xr:uid="{00000000-0005-0000-0000-0000AE0D0000}"/>
    <cellStyle name="Normal 33 5" xfId="3374" xr:uid="{00000000-0005-0000-0000-0000AF0D0000}"/>
    <cellStyle name="Normal 33 5 2" xfId="3375" xr:uid="{00000000-0005-0000-0000-0000B00D0000}"/>
    <cellStyle name="Normal 33 6" xfId="3376" xr:uid="{00000000-0005-0000-0000-0000B10D0000}"/>
    <cellStyle name="Normal 33 6 2" xfId="3377" xr:uid="{00000000-0005-0000-0000-0000B20D0000}"/>
    <cellStyle name="Normal 33 7" xfId="3378" xr:uid="{00000000-0005-0000-0000-0000B30D0000}"/>
    <cellStyle name="Normal 33 7 2" xfId="3379" xr:uid="{00000000-0005-0000-0000-0000B40D0000}"/>
    <cellStyle name="Normal 33 8" xfId="3380" xr:uid="{00000000-0005-0000-0000-0000B50D0000}"/>
    <cellStyle name="Normal 34" xfId="3381" xr:uid="{00000000-0005-0000-0000-0000B60D0000}"/>
    <cellStyle name="Normal 34 2" xfId="3382" xr:uid="{00000000-0005-0000-0000-0000B70D0000}"/>
    <cellStyle name="Normal 34 2 2" xfId="3383" xr:uid="{00000000-0005-0000-0000-0000B80D0000}"/>
    <cellStyle name="Normal 34 3" xfId="3384" xr:uid="{00000000-0005-0000-0000-0000B90D0000}"/>
    <cellStyle name="Normal 34 3 2" xfId="3385" xr:uid="{00000000-0005-0000-0000-0000BA0D0000}"/>
    <cellStyle name="Normal 34 4" xfId="3386" xr:uid="{00000000-0005-0000-0000-0000BB0D0000}"/>
    <cellStyle name="Normal 34 4 2" xfId="3387" xr:uid="{00000000-0005-0000-0000-0000BC0D0000}"/>
    <cellStyle name="Normal 34 5" xfId="3388" xr:uid="{00000000-0005-0000-0000-0000BD0D0000}"/>
    <cellStyle name="Normal 34 5 2" xfId="3389" xr:uid="{00000000-0005-0000-0000-0000BE0D0000}"/>
    <cellStyle name="Normal 34 6" xfId="3390" xr:uid="{00000000-0005-0000-0000-0000BF0D0000}"/>
    <cellStyle name="Normal 34 6 2" xfId="3391" xr:uid="{00000000-0005-0000-0000-0000C00D0000}"/>
    <cellStyle name="Normal 34 7" xfId="3392" xr:uid="{00000000-0005-0000-0000-0000C10D0000}"/>
    <cellStyle name="Normal 34 7 2" xfId="3393" xr:uid="{00000000-0005-0000-0000-0000C20D0000}"/>
    <cellStyle name="Normal 34 8" xfId="3394" xr:uid="{00000000-0005-0000-0000-0000C30D0000}"/>
    <cellStyle name="Normal 35" xfId="3395" xr:uid="{00000000-0005-0000-0000-0000C40D0000}"/>
    <cellStyle name="Normal 35 2" xfId="3396" xr:uid="{00000000-0005-0000-0000-0000C50D0000}"/>
    <cellStyle name="Normal 35 2 2" xfId="3397" xr:uid="{00000000-0005-0000-0000-0000C60D0000}"/>
    <cellStyle name="Normal 35 3" xfId="3398" xr:uid="{00000000-0005-0000-0000-0000C70D0000}"/>
    <cellStyle name="Normal 35 3 2" xfId="3399" xr:uid="{00000000-0005-0000-0000-0000C80D0000}"/>
    <cellStyle name="Normal 35 4" xfId="3400" xr:uid="{00000000-0005-0000-0000-0000C90D0000}"/>
    <cellStyle name="Normal 36" xfId="3401" xr:uid="{00000000-0005-0000-0000-0000CA0D0000}"/>
    <cellStyle name="Normal 36 2" xfId="3402" xr:uid="{00000000-0005-0000-0000-0000CB0D0000}"/>
    <cellStyle name="Normal 36 2 2" xfId="3403" xr:uid="{00000000-0005-0000-0000-0000CC0D0000}"/>
    <cellStyle name="Normal 36 3" xfId="3404" xr:uid="{00000000-0005-0000-0000-0000CD0D0000}"/>
    <cellStyle name="Normal 37" xfId="3405" xr:uid="{00000000-0005-0000-0000-0000CE0D0000}"/>
    <cellStyle name="Normal 37 2" xfId="3406" xr:uid="{00000000-0005-0000-0000-0000CF0D0000}"/>
    <cellStyle name="Normal 37 2 2" xfId="3407" xr:uid="{00000000-0005-0000-0000-0000D00D0000}"/>
    <cellStyle name="Normal 37 3" xfId="3408" xr:uid="{00000000-0005-0000-0000-0000D10D0000}"/>
    <cellStyle name="Normal 37 3 2" xfId="3409" xr:uid="{00000000-0005-0000-0000-0000D20D0000}"/>
    <cellStyle name="Normal 37 4" xfId="3410" xr:uid="{00000000-0005-0000-0000-0000D30D0000}"/>
    <cellStyle name="Normal 37 4 2" xfId="3411" xr:uid="{00000000-0005-0000-0000-0000D40D0000}"/>
    <cellStyle name="Normal 37 5" xfId="3412" xr:uid="{00000000-0005-0000-0000-0000D50D0000}"/>
    <cellStyle name="Normal 37 5 2" xfId="3413" xr:uid="{00000000-0005-0000-0000-0000D60D0000}"/>
    <cellStyle name="Normal 37 6" xfId="3414" xr:uid="{00000000-0005-0000-0000-0000D70D0000}"/>
    <cellStyle name="Normal 37 6 2" xfId="3415" xr:uid="{00000000-0005-0000-0000-0000D80D0000}"/>
    <cellStyle name="Normal 37 7" xfId="3416" xr:uid="{00000000-0005-0000-0000-0000D90D0000}"/>
    <cellStyle name="Normal 37 7 2" xfId="3417" xr:uid="{00000000-0005-0000-0000-0000DA0D0000}"/>
    <cellStyle name="Normal 37 8" xfId="3418" xr:uid="{00000000-0005-0000-0000-0000DB0D0000}"/>
    <cellStyle name="Normal 38" xfId="3419" xr:uid="{00000000-0005-0000-0000-0000DC0D0000}"/>
    <cellStyle name="Normal 38 2" xfId="3420" xr:uid="{00000000-0005-0000-0000-0000DD0D0000}"/>
    <cellStyle name="Normal 38 2 2" xfId="3421" xr:uid="{00000000-0005-0000-0000-0000DE0D0000}"/>
    <cellStyle name="Normal 38 3" xfId="3422" xr:uid="{00000000-0005-0000-0000-0000DF0D0000}"/>
    <cellStyle name="Normal 38 3 2" xfId="3423" xr:uid="{00000000-0005-0000-0000-0000E00D0000}"/>
    <cellStyle name="Normal 39" xfId="3424" xr:uid="{00000000-0005-0000-0000-0000E10D0000}"/>
    <cellStyle name="Normal 39 2" xfId="3425" xr:uid="{00000000-0005-0000-0000-0000E20D0000}"/>
    <cellStyle name="Normal 39 2 2" xfId="3426" xr:uid="{00000000-0005-0000-0000-0000E30D0000}"/>
    <cellStyle name="Normal 39 3" xfId="3427" xr:uid="{00000000-0005-0000-0000-0000E40D0000}"/>
    <cellStyle name="Normal 39 3 2" xfId="3428" xr:uid="{00000000-0005-0000-0000-0000E50D0000}"/>
    <cellStyle name="Normal 39 4" xfId="3429" xr:uid="{00000000-0005-0000-0000-0000E60D0000}"/>
    <cellStyle name="Normal 39 4 2" xfId="3430" xr:uid="{00000000-0005-0000-0000-0000E70D0000}"/>
    <cellStyle name="Normal 39 5" xfId="3431" xr:uid="{00000000-0005-0000-0000-0000E80D0000}"/>
    <cellStyle name="Normal 39 5 2" xfId="3432" xr:uid="{00000000-0005-0000-0000-0000E90D0000}"/>
    <cellStyle name="Normal 39 6" xfId="3433" xr:uid="{00000000-0005-0000-0000-0000EA0D0000}"/>
    <cellStyle name="Normal 39 6 2" xfId="3434" xr:uid="{00000000-0005-0000-0000-0000EB0D0000}"/>
    <cellStyle name="Normal 39 7" xfId="3435" xr:uid="{00000000-0005-0000-0000-0000EC0D0000}"/>
    <cellStyle name="Normal 39 7 2" xfId="3436" xr:uid="{00000000-0005-0000-0000-0000ED0D0000}"/>
    <cellStyle name="Normal 39 8" xfId="3437" xr:uid="{00000000-0005-0000-0000-0000EE0D0000}"/>
    <cellStyle name="Normal 4" xfId="3438" xr:uid="{00000000-0005-0000-0000-0000EF0D0000}"/>
    <cellStyle name="Normal 4 10" xfId="3439" xr:uid="{00000000-0005-0000-0000-0000F00D0000}"/>
    <cellStyle name="Normal 4 10 2" xfId="3440" xr:uid="{00000000-0005-0000-0000-0000F10D0000}"/>
    <cellStyle name="Normal 4 10 2 2" xfId="3441" xr:uid="{00000000-0005-0000-0000-0000F20D0000}"/>
    <cellStyle name="Normal 4 10 3" xfId="3442" xr:uid="{00000000-0005-0000-0000-0000F30D0000}"/>
    <cellStyle name="Normal 4 11" xfId="3443" xr:uid="{00000000-0005-0000-0000-0000F40D0000}"/>
    <cellStyle name="Normal 4 11 2" xfId="3444" xr:uid="{00000000-0005-0000-0000-0000F50D0000}"/>
    <cellStyle name="Normal 4 11 2 2" xfId="3445" xr:uid="{00000000-0005-0000-0000-0000F60D0000}"/>
    <cellStyle name="Normal 4 11 3" xfId="3446" xr:uid="{00000000-0005-0000-0000-0000F70D0000}"/>
    <cellStyle name="Normal 4 12" xfId="3447" xr:uid="{00000000-0005-0000-0000-0000F80D0000}"/>
    <cellStyle name="Normal 4 12 2" xfId="3448" xr:uid="{00000000-0005-0000-0000-0000F90D0000}"/>
    <cellStyle name="Normal 4 12 2 2" xfId="3449" xr:uid="{00000000-0005-0000-0000-0000FA0D0000}"/>
    <cellStyle name="Normal 4 12 3" xfId="3450" xr:uid="{00000000-0005-0000-0000-0000FB0D0000}"/>
    <cellStyle name="Normal 4 13" xfId="3451" xr:uid="{00000000-0005-0000-0000-0000FC0D0000}"/>
    <cellStyle name="Normal 4 13 2" xfId="3452" xr:uid="{00000000-0005-0000-0000-0000FD0D0000}"/>
    <cellStyle name="Normal 4 13 2 2" xfId="3453" xr:uid="{00000000-0005-0000-0000-0000FE0D0000}"/>
    <cellStyle name="Normal 4 13 3" xfId="3454" xr:uid="{00000000-0005-0000-0000-0000FF0D0000}"/>
    <cellStyle name="Normal 4 14" xfId="3455" xr:uid="{00000000-0005-0000-0000-0000000E0000}"/>
    <cellStyle name="Normal 4 14 2" xfId="3456" xr:uid="{00000000-0005-0000-0000-0000010E0000}"/>
    <cellStyle name="Normal 4 14 2 2" xfId="3457" xr:uid="{00000000-0005-0000-0000-0000020E0000}"/>
    <cellStyle name="Normal 4 14 3" xfId="3458" xr:uid="{00000000-0005-0000-0000-0000030E0000}"/>
    <cellStyle name="Normal 4 15" xfId="3459" xr:uid="{00000000-0005-0000-0000-0000040E0000}"/>
    <cellStyle name="Normal 4 15 2" xfId="3460" xr:uid="{00000000-0005-0000-0000-0000050E0000}"/>
    <cellStyle name="Normal 4 15 2 2" xfId="3461" xr:uid="{00000000-0005-0000-0000-0000060E0000}"/>
    <cellStyle name="Normal 4 15 3" xfId="3462" xr:uid="{00000000-0005-0000-0000-0000070E0000}"/>
    <cellStyle name="Normal 4 16" xfId="3463" xr:uid="{00000000-0005-0000-0000-0000080E0000}"/>
    <cellStyle name="Normal 4 16 2" xfId="3464" xr:uid="{00000000-0005-0000-0000-0000090E0000}"/>
    <cellStyle name="Normal 4 17" xfId="3465" xr:uid="{00000000-0005-0000-0000-00000A0E0000}"/>
    <cellStyle name="Normal 4 17 2" xfId="3466" xr:uid="{00000000-0005-0000-0000-00000B0E0000}"/>
    <cellStyle name="Normal 4 18" xfId="3467" xr:uid="{00000000-0005-0000-0000-00000C0E0000}"/>
    <cellStyle name="Normal 4 19" xfId="3468" xr:uid="{00000000-0005-0000-0000-00000D0E0000}"/>
    <cellStyle name="Normal 4 2" xfId="3469" xr:uid="{00000000-0005-0000-0000-00000E0E0000}"/>
    <cellStyle name="Normal 4 2 2" xfId="3470" xr:uid="{00000000-0005-0000-0000-00000F0E0000}"/>
    <cellStyle name="Normal 4 2 2 2" xfId="3471" xr:uid="{00000000-0005-0000-0000-0000100E0000}"/>
    <cellStyle name="Normal 4 2 3" xfId="3472" xr:uid="{00000000-0005-0000-0000-0000110E0000}"/>
    <cellStyle name="Normal 4 2 4" xfId="3473" xr:uid="{00000000-0005-0000-0000-0000120E0000}"/>
    <cellStyle name="Normal 4 3" xfId="3474" xr:uid="{00000000-0005-0000-0000-0000130E0000}"/>
    <cellStyle name="Normal 4 3 2" xfId="3475" xr:uid="{00000000-0005-0000-0000-0000140E0000}"/>
    <cellStyle name="Normal 4 3 2 2" xfId="3476" xr:uid="{00000000-0005-0000-0000-0000150E0000}"/>
    <cellStyle name="Normal 4 3 3" xfId="3477" xr:uid="{00000000-0005-0000-0000-0000160E0000}"/>
    <cellStyle name="Normal 4 4" xfId="3478" xr:uid="{00000000-0005-0000-0000-0000170E0000}"/>
    <cellStyle name="Normal 4 4 2" xfId="3479" xr:uid="{00000000-0005-0000-0000-0000180E0000}"/>
    <cellStyle name="Normal 4 4 2 2" xfId="3480" xr:uid="{00000000-0005-0000-0000-0000190E0000}"/>
    <cellStyle name="Normal 4 4 3" xfId="3481" xr:uid="{00000000-0005-0000-0000-00001A0E0000}"/>
    <cellStyle name="Normal 4 5" xfId="3482" xr:uid="{00000000-0005-0000-0000-00001B0E0000}"/>
    <cellStyle name="Normal 4 5 2" xfId="3483" xr:uid="{00000000-0005-0000-0000-00001C0E0000}"/>
    <cellStyle name="Normal 4 5 2 2" xfId="3484" xr:uid="{00000000-0005-0000-0000-00001D0E0000}"/>
    <cellStyle name="Normal 4 5 3" xfId="3485" xr:uid="{00000000-0005-0000-0000-00001E0E0000}"/>
    <cellStyle name="Normal 4 6" xfId="3486" xr:uid="{00000000-0005-0000-0000-00001F0E0000}"/>
    <cellStyle name="Normal 4 6 2" xfId="3487" xr:uid="{00000000-0005-0000-0000-0000200E0000}"/>
    <cellStyle name="Normal 4 6 2 2" xfId="3488" xr:uid="{00000000-0005-0000-0000-0000210E0000}"/>
    <cellStyle name="Normal 4 6 3" xfId="3489" xr:uid="{00000000-0005-0000-0000-0000220E0000}"/>
    <cellStyle name="Normal 4 7" xfId="3490" xr:uid="{00000000-0005-0000-0000-0000230E0000}"/>
    <cellStyle name="Normal 4 7 2" xfId="3491" xr:uid="{00000000-0005-0000-0000-0000240E0000}"/>
    <cellStyle name="Normal 4 7 2 2" xfId="3492" xr:uid="{00000000-0005-0000-0000-0000250E0000}"/>
    <cellStyle name="Normal 4 7 3" xfId="3493" xr:uid="{00000000-0005-0000-0000-0000260E0000}"/>
    <cellStyle name="Normal 4 8" xfId="3494" xr:uid="{00000000-0005-0000-0000-0000270E0000}"/>
    <cellStyle name="Normal 4 8 2" xfId="3495" xr:uid="{00000000-0005-0000-0000-0000280E0000}"/>
    <cellStyle name="Normal 4 8 2 2" xfId="3496" xr:uid="{00000000-0005-0000-0000-0000290E0000}"/>
    <cellStyle name="Normal 4 8 3" xfId="3497" xr:uid="{00000000-0005-0000-0000-00002A0E0000}"/>
    <cellStyle name="Normal 4 9" xfId="3498" xr:uid="{00000000-0005-0000-0000-00002B0E0000}"/>
    <cellStyle name="Normal 4 9 2" xfId="3499" xr:uid="{00000000-0005-0000-0000-00002C0E0000}"/>
    <cellStyle name="Normal 4 9 2 2" xfId="3500" xr:uid="{00000000-0005-0000-0000-00002D0E0000}"/>
    <cellStyle name="Normal 4 9 3" xfId="3501" xr:uid="{00000000-0005-0000-0000-00002E0E0000}"/>
    <cellStyle name="Normal 4_Attach O, GG, Support -New Method 2-14-11" xfId="4529" xr:uid="{00000000-0005-0000-0000-00002F0E0000}"/>
    <cellStyle name="Normal 40" xfId="3502" xr:uid="{00000000-0005-0000-0000-0000300E0000}"/>
    <cellStyle name="Normal 40 2" xfId="3503" xr:uid="{00000000-0005-0000-0000-0000310E0000}"/>
    <cellStyle name="Normal 40 2 2" xfId="3504" xr:uid="{00000000-0005-0000-0000-0000320E0000}"/>
    <cellStyle name="Normal 40 3" xfId="3505" xr:uid="{00000000-0005-0000-0000-0000330E0000}"/>
    <cellStyle name="Normal 41" xfId="3506" xr:uid="{00000000-0005-0000-0000-0000340E0000}"/>
    <cellStyle name="Normal 41 2" xfId="3507" xr:uid="{00000000-0005-0000-0000-0000350E0000}"/>
    <cellStyle name="Normal 41 2 2" xfId="3508" xr:uid="{00000000-0005-0000-0000-0000360E0000}"/>
    <cellStyle name="Normal 41 3" xfId="3509" xr:uid="{00000000-0005-0000-0000-0000370E0000}"/>
    <cellStyle name="Normal 41 3 2" xfId="3510" xr:uid="{00000000-0005-0000-0000-0000380E0000}"/>
    <cellStyle name="Normal 41 4" xfId="3511" xr:uid="{00000000-0005-0000-0000-0000390E0000}"/>
    <cellStyle name="Normal 42" xfId="3512" xr:uid="{00000000-0005-0000-0000-00003A0E0000}"/>
    <cellStyle name="Normal 42 2" xfId="3513" xr:uid="{00000000-0005-0000-0000-00003B0E0000}"/>
    <cellStyle name="Normal 42 2 2" xfId="3514" xr:uid="{00000000-0005-0000-0000-00003C0E0000}"/>
    <cellStyle name="Normal 42 3" xfId="3515" xr:uid="{00000000-0005-0000-0000-00003D0E0000}"/>
    <cellStyle name="Normal 42 3 2" xfId="3516" xr:uid="{00000000-0005-0000-0000-00003E0E0000}"/>
    <cellStyle name="Normal 43" xfId="3517" xr:uid="{00000000-0005-0000-0000-00003F0E0000}"/>
    <cellStyle name="Normal 43 2" xfId="3518" xr:uid="{00000000-0005-0000-0000-0000400E0000}"/>
    <cellStyle name="Normal 43 2 2" xfId="3519" xr:uid="{00000000-0005-0000-0000-0000410E0000}"/>
    <cellStyle name="Normal 43 3" xfId="3520" xr:uid="{00000000-0005-0000-0000-0000420E0000}"/>
    <cellStyle name="Normal 43 3 2" xfId="3521" xr:uid="{00000000-0005-0000-0000-0000430E0000}"/>
    <cellStyle name="Normal 43 4" xfId="3522" xr:uid="{00000000-0005-0000-0000-0000440E0000}"/>
    <cellStyle name="Normal 43 4 2" xfId="3523" xr:uid="{00000000-0005-0000-0000-0000450E0000}"/>
    <cellStyle name="Normal 43 5" xfId="3524" xr:uid="{00000000-0005-0000-0000-0000460E0000}"/>
    <cellStyle name="Normal 43 5 2" xfId="3525" xr:uid="{00000000-0005-0000-0000-0000470E0000}"/>
    <cellStyle name="Normal 43 6" xfId="3526" xr:uid="{00000000-0005-0000-0000-0000480E0000}"/>
    <cellStyle name="Normal 44" xfId="3527" xr:uid="{00000000-0005-0000-0000-0000490E0000}"/>
    <cellStyle name="Normal 44 2" xfId="3528" xr:uid="{00000000-0005-0000-0000-00004A0E0000}"/>
    <cellStyle name="Normal 45" xfId="3529" xr:uid="{00000000-0005-0000-0000-00004B0E0000}"/>
    <cellStyle name="Normal 45 2" xfId="3530" xr:uid="{00000000-0005-0000-0000-00004C0E0000}"/>
    <cellStyle name="Normal 46" xfId="3531" xr:uid="{00000000-0005-0000-0000-00004D0E0000}"/>
    <cellStyle name="Normal 47" xfId="3532" xr:uid="{00000000-0005-0000-0000-00004E0E0000}"/>
    <cellStyle name="Normal 47 2" xfId="3533" xr:uid="{00000000-0005-0000-0000-00004F0E0000}"/>
    <cellStyle name="Normal 47 2 2" xfId="3534" xr:uid="{00000000-0005-0000-0000-0000500E0000}"/>
    <cellStyle name="Normal 47 3" xfId="3535" xr:uid="{00000000-0005-0000-0000-0000510E0000}"/>
    <cellStyle name="Normal 47 3 2" xfId="3536" xr:uid="{00000000-0005-0000-0000-0000520E0000}"/>
    <cellStyle name="Normal 47 4" xfId="3537" xr:uid="{00000000-0005-0000-0000-0000530E0000}"/>
    <cellStyle name="Normal 47 4 2" xfId="3538" xr:uid="{00000000-0005-0000-0000-0000540E0000}"/>
    <cellStyle name="Normal 47 5" xfId="3539" xr:uid="{00000000-0005-0000-0000-0000550E0000}"/>
    <cellStyle name="Normal 47 5 2" xfId="3540" xr:uid="{00000000-0005-0000-0000-0000560E0000}"/>
    <cellStyle name="Normal 47 6" xfId="3541" xr:uid="{00000000-0005-0000-0000-0000570E0000}"/>
    <cellStyle name="Normal 48" xfId="3542" xr:uid="{00000000-0005-0000-0000-0000580E0000}"/>
    <cellStyle name="Normal 48 2" xfId="3543" xr:uid="{00000000-0005-0000-0000-0000590E0000}"/>
    <cellStyle name="Normal 48 2 2" xfId="3544" xr:uid="{00000000-0005-0000-0000-00005A0E0000}"/>
    <cellStyle name="Normal 48 3" xfId="3545" xr:uid="{00000000-0005-0000-0000-00005B0E0000}"/>
    <cellStyle name="Normal 48 3 2" xfId="3546" xr:uid="{00000000-0005-0000-0000-00005C0E0000}"/>
    <cellStyle name="Normal 48 4" xfId="3547" xr:uid="{00000000-0005-0000-0000-00005D0E0000}"/>
    <cellStyle name="Normal 48 4 2" xfId="3548" xr:uid="{00000000-0005-0000-0000-00005E0E0000}"/>
    <cellStyle name="Normal 48 5" xfId="3549" xr:uid="{00000000-0005-0000-0000-00005F0E0000}"/>
    <cellStyle name="Normal 48 5 2" xfId="3550" xr:uid="{00000000-0005-0000-0000-0000600E0000}"/>
    <cellStyle name="Normal 48 6" xfId="3551" xr:uid="{00000000-0005-0000-0000-0000610E0000}"/>
    <cellStyle name="Normal 49" xfId="4326" xr:uid="{00000000-0005-0000-0000-0000620E0000}"/>
    <cellStyle name="Normal 5" xfId="3552" xr:uid="{00000000-0005-0000-0000-0000630E0000}"/>
    <cellStyle name="Normal 5 10" xfId="3553" xr:uid="{00000000-0005-0000-0000-0000640E0000}"/>
    <cellStyle name="Normal 5 10 2" xfId="3554" xr:uid="{00000000-0005-0000-0000-0000650E0000}"/>
    <cellStyle name="Normal 5 10 2 2" xfId="3555" xr:uid="{00000000-0005-0000-0000-0000660E0000}"/>
    <cellStyle name="Normal 5 10 3" xfId="3556" xr:uid="{00000000-0005-0000-0000-0000670E0000}"/>
    <cellStyle name="Normal 5 11" xfId="3557" xr:uid="{00000000-0005-0000-0000-0000680E0000}"/>
    <cellStyle name="Normal 5 11 2" xfId="3558" xr:uid="{00000000-0005-0000-0000-0000690E0000}"/>
    <cellStyle name="Normal 5 11 2 2" xfId="3559" xr:uid="{00000000-0005-0000-0000-00006A0E0000}"/>
    <cellStyle name="Normal 5 11 3" xfId="3560" xr:uid="{00000000-0005-0000-0000-00006B0E0000}"/>
    <cellStyle name="Normal 5 12" xfId="3561" xr:uid="{00000000-0005-0000-0000-00006C0E0000}"/>
    <cellStyle name="Normal 5 12 2" xfId="3562" xr:uid="{00000000-0005-0000-0000-00006D0E0000}"/>
    <cellStyle name="Normal 5 12 2 2" xfId="3563" xr:uid="{00000000-0005-0000-0000-00006E0E0000}"/>
    <cellStyle name="Normal 5 12 3" xfId="3564" xr:uid="{00000000-0005-0000-0000-00006F0E0000}"/>
    <cellStyle name="Normal 5 13" xfId="3565" xr:uid="{00000000-0005-0000-0000-0000700E0000}"/>
    <cellStyle name="Normal 5 13 2" xfId="3566" xr:uid="{00000000-0005-0000-0000-0000710E0000}"/>
    <cellStyle name="Normal 5 13 2 2" xfId="3567" xr:uid="{00000000-0005-0000-0000-0000720E0000}"/>
    <cellStyle name="Normal 5 13 3" xfId="3568" xr:uid="{00000000-0005-0000-0000-0000730E0000}"/>
    <cellStyle name="Normal 5 14" xfId="3569" xr:uid="{00000000-0005-0000-0000-0000740E0000}"/>
    <cellStyle name="Normal 5 14 2" xfId="3570" xr:uid="{00000000-0005-0000-0000-0000750E0000}"/>
    <cellStyle name="Normal 5 14 2 2" xfId="3571" xr:uid="{00000000-0005-0000-0000-0000760E0000}"/>
    <cellStyle name="Normal 5 14 3" xfId="3572" xr:uid="{00000000-0005-0000-0000-0000770E0000}"/>
    <cellStyle name="Normal 5 15" xfId="3573" xr:uid="{00000000-0005-0000-0000-0000780E0000}"/>
    <cellStyle name="Normal 5 15 2" xfId="3574" xr:uid="{00000000-0005-0000-0000-0000790E0000}"/>
    <cellStyle name="Normal 5 15 2 2" xfId="3575" xr:uid="{00000000-0005-0000-0000-00007A0E0000}"/>
    <cellStyle name="Normal 5 15 3" xfId="3576" xr:uid="{00000000-0005-0000-0000-00007B0E0000}"/>
    <cellStyle name="Normal 5 16" xfId="3577" xr:uid="{00000000-0005-0000-0000-00007C0E0000}"/>
    <cellStyle name="Normal 5 16 2" xfId="3578" xr:uid="{00000000-0005-0000-0000-00007D0E0000}"/>
    <cellStyle name="Normal 5 17" xfId="3579" xr:uid="{00000000-0005-0000-0000-00007E0E0000}"/>
    <cellStyle name="Normal 5 17 2" xfId="3580" xr:uid="{00000000-0005-0000-0000-00007F0E0000}"/>
    <cellStyle name="Normal 5 18" xfId="3581" xr:uid="{00000000-0005-0000-0000-0000800E0000}"/>
    <cellStyle name="Normal 5 19" xfId="3582" xr:uid="{00000000-0005-0000-0000-0000810E0000}"/>
    <cellStyle name="Normal 5 2" xfId="3583" xr:uid="{00000000-0005-0000-0000-0000820E0000}"/>
    <cellStyle name="Normal 5 2 2" xfId="3584" xr:uid="{00000000-0005-0000-0000-0000830E0000}"/>
    <cellStyle name="Normal 5 2 2 2" xfId="3585" xr:uid="{00000000-0005-0000-0000-0000840E0000}"/>
    <cellStyle name="Normal 5 2 3" xfId="3586" xr:uid="{00000000-0005-0000-0000-0000850E0000}"/>
    <cellStyle name="Normal 5 2 4" xfId="3587" xr:uid="{00000000-0005-0000-0000-0000860E0000}"/>
    <cellStyle name="Normal 5 2 5" xfId="4156" xr:uid="{00000000-0005-0000-0000-0000870E0000}"/>
    <cellStyle name="Normal 5 3" xfId="3588" xr:uid="{00000000-0005-0000-0000-0000880E0000}"/>
    <cellStyle name="Normal 5 3 2" xfId="3589" xr:uid="{00000000-0005-0000-0000-0000890E0000}"/>
    <cellStyle name="Normal 5 3 2 2" xfId="3590" xr:uid="{00000000-0005-0000-0000-00008A0E0000}"/>
    <cellStyle name="Normal 5 3 3" xfId="3591" xr:uid="{00000000-0005-0000-0000-00008B0E0000}"/>
    <cellStyle name="Normal 5 4" xfId="3592" xr:uid="{00000000-0005-0000-0000-00008C0E0000}"/>
    <cellStyle name="Normal 5 4 2" xfId="3593" xr:uid="{00000000-0005-0000-0000-00008D0E0000}"/>
    <cellStyle name="Normal 5 4 2 2" xfId="3594" xr:uid="{00000000-0005-0000-0000-00008E0E0000}"/>
    <cellStyle name="Normal 5 4 3" xfId="3595" xr:uid="{00000000-0005-0000-0000-00008F0E0000}"/>
    <cellStyle name="Normal 5 5" xfId="3596" xr:uid="{00000000-0005-0000-0000-0000900E0000}"/>
    <cellStyle name="Normal 5 5 2" xfId="3597" xr:uid="{00000000-0005-0000-0000-0000910E0000}"/>
    <cellStyle name="Normal 5 5 2 2" xfId="3598" xr:uid="{00000000-0005-0000-0000-0000920E0000}"/>
    <cellStyle name="Normal 5 5 3" xfId="3599" xr:uid="{00000000-0005-0000-0000-0000930E0000}"/>
    <cellStyle name="Normal 5 6" xfId="3600" xr:uid="{00000000-0005-0000-0000-0000940E0000}"/>
    <cellStyle name="Normal 5 6 2" xfId="3601" xr:uid="{00000000-0005-0000-0000-0000950E0000}"/>
    <cellStyle name="Normal 5 6 2 2" xfId="3602" xr:uid="{00000000-0005-0000-0000-0000960E0000}"/>
    <cellStyle name="Normal 5 6 3" xfId="3603" xr:uid="{00000000-0005-0000-0000-0000970E0000}"/>
    <cellStyle name="Normal 5 7" xfId="3604" xr:uid="{00000000-0005-0000-0000-0000980E0000}"/>
    <cellStyle name="Normal 5 7 2" xfId="3605" xr:uid="{00000000-0005-0000-0000-0000990E0000}"/>
    <cellStyle name="Normal 5 7 2 2" xfId="3606" xr:uid="{00000000-0005-0000-0000-00009A0E0000}"/>
    <cellStyle name="Normal 5 7 3" xfId="3607" xr:uid="{00000000-0005-0000-0000-00009B0E0000}"/>
    <cellStyle name="Normal 5 8" xfId="3608" xr:uid="{00000000-0005-0000-0000-00009C0E0000}"/>
    <cellStyle name="Normal 5 8 2" xfId="3609" xr:uid="{00000000-0005-0000-0000-00009D0E0000}"/>
    <cellStyle name="Normal 5 8 2 2" xfId="3610" xr:uid="{00000000-0005-0000-0000-00009E0E0000}"/>
    <cellStyle name="Normal 5 8 3" xfId="3611" xr:uid="{00000000-0005-0000-0000-00009F0E0000}"/>
    <cellStyle name="Normal 5 9" xfId="3612" xr:uid="{00000000-0005-0000-0000-0000A00E0000}"/>
    <cellStyle name="Normal 5 9 2" xfId="3613" xr:uid="{00000000-0005-0000-0000-0000A10E0000}"/>
    <cellStyle name="Normal 5 9 2 2" xfId="3614" xr:uid="{00000000-0005-0000-0000-0000A20E0000}"/>
    <cellStyle name="Normal 5 9 3" xfId="3615" xr:uid="{00000000-0005-0000-0000-0000A30E0000}"/>
    <cellStyle name="Normal 50" xfId="4327" xr:uid="{00000000-0005-0000-0000-0000A40E0000}"/>
    <cellStyle name="Normal 51" xfId="4328" xr:uid="{00000000-0005-0000-0000-0000A50E0000}"/>
    <cellStyle name="Normal 52" xfId="4329" xr:uid="{00000000-0005-0000-0000-0000A60E0000}"/>
    <cellStyle name="Normal 53" xfId="4330" xr:uid="{00000000-0005-0000-0000-0000A70E0000}"/>
    <cellStyle name="Normal 54" xfId="4331" xr:uid="{00000000-0005-0000-0000-0000A80E0000}"/>
    <cellStyle name="Normal 54 2" xfId="4332" xr:uid="{00000000-0005-0000-0000-0000A90E0000}"/>
    <cellStyle name="Normal 55" xfId="4333" xr:uid="{00000000-0005-0000-0000-0000AA0E0000}"/>
    <cellStyle name="Normal 55 2" xfId="4334" xr:uid="{00000000-0005-0000-0000-0000AB0E0000}"/>
    <cellStyle name="Normal 56" xfId="4335" xr:uid="{00000000-0005-0000-0000-0000AC0E0000}"/>
    <cellStyle name="Normal 57" xfId="4336" xr:uid="{00000000-0005-0000-0000-0000AD0E0000}"/>
    <cellStyle name="Normal 58" xfId="4337" xr:uid="{00000000-0005-0000-0000-0000AE0E0000}"/>
    <cellStyle name="Normal 59" xfId="4338" xr:uid="{00000000-0005-0000-0000-0000AF0E0000}"/>
    <cellStyle name="Normal 6" xfId="3616" xr:uid="{00000000-0005-0000-0000-0000B00E0000}"/>
    <cellStyle name="Normal 6 2" xfId="3617" xr:uid="{00000000-0005-0000-0000-0000B10E0000}"/>
    <cellStyle name="Normal 6 2 2" xfId="3618" xr:uid="{00000000-0005-0000-0000-0000B20E0000}"/>
    <cellStyle name="Normal 6 2 2 2" xfId="4530" xr:uid="{00000000-0005-0000-0000-0000B30E0000}"/>
    <cellStyle name="Normal 6 2 2 2 2" xfId="4531" xr:uid="{00000000-0005-0000-0000-0000B40E0000}"/>
    <cellStyle name="Normal 6 2 2 2 2 2" xfId="4532" xr:uid="{00000000-0005-0000-0000-0000B50E0000}"/>
    <cellStyle name="Normal 6 2 2 2 2 3" xfId="4533" xr:uid="{00000000-0005-0000-0000-0000B60E0000}"/>
    <cellStyle name="Normal 6 2 2 2 2 4" xfId="4534" xr:uid="{00000000-0005-0000-0000-0000B70E0000}"/>
    <cellStyle name="Normal 6 2 2 2 3" xfId="4535" xr:uid="{00000000-0005-0000-0000-0000B80E0000}"/>
    <cellStyle name="Normal 6 2 2 2 4" xfId="4536" xr:uid="{00000000-0005-0000-0000-0000B90E0000}"/>
    <cellStyle name="Normal 6 2 2 2 5" xfId="4537" xr:uid="{00000000-0005-0000-0000-0000BA0E0000}"/>
    <cellStyle name="Normal 6 2 2 3" xfId="4538" xr:uid="{00000000-0005-0000-0000-0000BB0E0000}"/>
    <cellStyle name="Normal 6 2 2 3 2" xfId="4539" xr:uid="{00000000-0005-0000-0000-0000BC0E0000}"/>
    <cellStyle name="Normal 6 2 2 3 3" xfId="4540" xr:uid="{00000000-0005-0000-0000-0000BD0E0000}"/>
    <cellStyle name="Normal 6 2 2 3 4" xfId="4541" xr:uid="{00000000-0005-0000-0000-0000BE0E0000}"/>
    <cellStyle name="Normal 6 2 2 4" xfId="4542" xr:uid="{00000000-0005-0000-0000-0000BF0E0000}"/>
    <cellStyle name="Normal 6 2 2 5" xfId="4543" xr:uid="{00000000-0005-0000-0000-0000C00E0000}"/>
    <cellStyle name="Normal 6 2 2 6" xfId="4544" xr:uid="{00000000-0005-0000-0000-0000C10E0000}"/>
    <cellStyle name="Normal 6 2 3" xfId="4545" xr:uid="{00000000-0005-0000-0000-0000C20E0000}"/>
    <cellStyle name="Normal 6 2 3 2" xfId="4546" xr:uid="{00000000-0005-0000-0000-0000C30E0000}"/>
    <cellStyle name="Normal 6 2 3 2 2" xfId="4547" xr:uid="{00000000-0005-0000-0000-0000C40E0000}"/>
    <cellStyle name="Normal 6 2 3 2 3" xfId="4548" xr:uid="{00000000-0005-0000-0000-0000C50E0000}"/>
    <cellStyle name="Normal 6 2 3 2 4" xfId="4549" xr:uid="{00000000-0005-0000-0000-0000C60E0000}"/>
    <cellStyle name="Normal 6 2 3 3" xfId="4550" xr:uid="{00000000-0005-0000-0000-0000C70E0000}"/>
    <cellStyle name="Normal 6 2 3 4" xfId="4551" xr:uid="{00000000-0005-0000-0000-0000C80E0000}"/>
    <cellStyle name="Normal 6 2 3 5" xfId="4552" xr:uid="{00000000-0005-0000-0000-0000C90E0000}"/>
    <cellStyle name="Normal 6 2 4" xfId="4553" xr:uid="{00000000-0005-0000-0000-0000CA0E0000}"/>
    <cellStyle name="Normal 6 2 4 2" xfId="4554" xr:uid="{00000000-0005-0000-0000-0000CB0E0000}"/>
    <cellStyle name="Normal 6 2 4 3" xfId="4555" xr:uid="{00000000-0005-0000-0000-0000CC0E0000}"/>
    <cellStyle name="Normal 6 2 4 4" xfId="4556" xr:uid="{00000000-0005-0000-0000-0000CD0E0000}"/>
    <cellStyle name="Normal 6 2 5" xfId="4557" xr:uid="{00000000-0005-0000-0000-0000CE0E0000}"/>
    <cellStyle name="Normal 6 2 6" xfId="4558" xr:uid="{00000000-0005-0000-0000-0000CF0E0000}"/>
    <cellStyle name="Normal 6 2 7" xfId="4559" xr:uid="{00000000-0005-0000-0000-0000D00E0000}"/>
    <cellStyle name="Normal 6 3" xfId="3619" xr:uid="{00000000-0005-0000-0000-0000D10E0000}"/>
    <cellStyle name="Normal 6 3 2" xfId="3620" xr:uid="{00000000-0005-0000-0000-0000D20E0000}"/>
    <cellStyle name="Normal 6 3 2 2" xfId="4560" xr:uid="{00000000-0005-0000-0000-0000D30E0000}"/>
    <cellStyle name="Normal 6 3 2 2 2" xfId="4561" xr:uid="{00000000-0005-0000-0000-0000D40E0000}"/>
    <cellStyle name="Normal 6 3 2 2 3" xfId="4562" xr:uid="{00000000-0005-0000-0000-0000D50E0000}"/>
    <cellStyle name="Normal 6 3 2 2 4" xfId="4563" xr:uid="{00000000-0005-0000-0000-0000D60E0000}"/>
    <cellStyle name="Normal 6 3 2 3" xfId="4564" xr:uid="{00000000-0005-0000-0000-0000D70E0000}"/>
    <cellStyle name="Normal 6 3 2 4" xfId="4565" xr:uid="{00000000-0005-0000-0000-0000D80E0000}"/>
    <cellStyle name="Normal 6 3 2 5" xfId="4566" xr:uid="{00000000-0005-0000-0000-0000D90E0000}"/>
    <cellStyle name="Normal 6 3 3" xfId="4567" xr:uid="{00000000-0005-0000-0000-0000DA0E0000}"/>
    <cellStyle name="Normal 6 3 3 2" xfId="4568" xr:uid="{00000000-0005-0000-0000-0000DB0E0000}"/>
    <cellStyle name="Normal 6 3 3 3" xfId="4569" xr:uid="{00000000-0005-0000-0000-0000DC0E0000}"/>
    <cellStyle name="Normal 6 3 3 4" xfId="4570" xr:uid="{00000000-0005-0000-0000-0000DD0E0000}"/>
    <cellStyle name="Normal 6 3 4" xfId="4571" xr:uid="{00000000-0005-0000-0000-0000DE0E0000}"/>
    <cellStyle name="Normal 6 3 5" xfId="4572" xr:uid="{00000000-0005-0000-0000-0000DF0E0000}"/>
    <cellStyle name="Normal 6 3 6" xfId="4573" xr:uid="{00000000-0005-0000-0000-0000E00E0000}"/>
    <cellStyle name="Normal 6 4" xfId="3621" xr:uid="{00000000-0005-0000-0000-0000E10E0000}"/>
    <cellStyle name="Normal 6 4 2" xfId="3622" xr:uid="{00000000-0005-0000-0000-0000E20E0000}"/>
    <cellStyle name="Normal 6 4 2 2" xfId="4574" xr:uid="{00000000-0005-0000-0000-0000E30E0000}"/>
    <cellStyle name="Normal 6 4 2 3" xfId="4575" xr:uid="{00000000-0005-0000-0000-0000E40E0000}"/>
    <cellStyle name="Normal 6 4 2 4" xfId="4576" xr:uid="{00000000-0005-0000-0000-0000E50E0000}"/>
    <cellStyle name="Normal 6 4 3" xfId="4577" xr:uid="{00000000-0005-0000-0000-0000E60E0000}"/>
    <cellStyle name="Normal 6 4 4" xfId="4578" xr:uid="{00000000-0005-0000-0000-0000E70E0000}"/>
    <cellStyle name="Normal 6 4 5" xfId="4579" xr:uid="{00000000-0005-0000-0000-0000E80E0000}"/>
    <cellStyle name="Normal 6 5" xfId="3623" xr:uid="{00000000-0005-0000-0000-0000E90E0000}"/>
    <cellStyle name="Normal 6 5 2" xfId="3624" xr:uid="{00000000-0005-0000-0000-0000EA0E0000}"/>
    <cellStyle name="Normal 6 5 3" xfId="4580" xr:uid="{00000000-0005-0000-0000-0000EB0E0000}"/>
    <cellStyle name="Normal 6 5 4" xfId="4581" xr:uid="{00000000-0005-0000-0000-0000EC0E0000}"/>
    <cellStyle name="Normal 6 6" xfId="3625" xr:uid="{00000000-0005-0000-0000-0000ED0E0000}"/>
    <cellStyle name="Normal 6 7" xfId="3626" xr:uid="{00000000-0005-0000-0000-0000EE0E0000}"/>
    <cellStyle name="Normal 6 8" xfId="3627" xr:uid="{00000000-0005-0000-0000-0000EF0E0000}"/>
    <cellStyle name="Normal 6 9" xfId="4682" xr:uid="{00000000-0005-0000-0000-0000F00E0000}"/>
    <cellStyle name="Normal 60" xfId="4339" xr:uid="{00000000-0005-0000-0000-0000F10E0000}"/>
    <cellStyle name="Normal 61" xfId="4340" xr:uid="{00000000-0005-0000-0000-0000F20E0000}"/>
    <cellStyle name="Normal 62" xfId="4341" xr:uid="{00000000-0005-0000-0000-0000F30E0000}"/>
    <cellStyle name="Normal 63" xfId="4342" xr:uid="{00000000-0005-0000-0000-0000F40E0000}"/>
    <cellStyle name="Normal 64" xfId="4343" xr:uid="{00000000-0005-0000-0000-0000F50E0000}"/>
    <cellStyle name="Normal 65" xfId="4470" xr:uid="{00000000-0005-0000-0000-0000F60E0000}"/>
    <cellStyle name="Normal 66" xfId="4667" xr:uid="{00000000-0005-0000-0000-0000F70E0000}"/>
    <cellStyle name="Normal 67" xfId="4671" xr:uid="{00000000-0005-0000-0000-0000F80E0000}"/>
    <cellStyle name="Normal 69" xfId="4344" xr:uid="{00000000-0005-0000-0000-0000F90E0000}"/>
    <cellStyle name="Normal 69 3" xfId="4345" xr:uid="{00000000-0005-0000-0000-0000FA0E0000}"/>
    <cellStyle name="Normal 7" xfId="3628" xr:uid="{00000000-0005-0000-0000-0000FB0E0000}"/>
    <cellStyle name="Normal 7 2" xfId="3629" xr:uid="{00000000-0005-0000-0000-0000FC0E0000}"/>
    <cellStyle name="Normal 7 2 2" xfId="3630" xr:uid="{00000000-0005-0000-0000-0000FD0E0000}"/>
    <cellStyle name="Normal 7 3" xfId="3631" xr:uid="{00000000-0005-0000-0000-0000FE0E0000}"/>
    <cellStyle name="Normal 7 3 2" xfId="3632" xr:uid="{00000000-0005-0000-0000-0000FF0E0000}"/>
    <cellStyle name="Normal 7 4" xfId="3633" xr:uid="{00000000-0005-0000-0000-0000000F0000}"/>
    <cellStyle name="Normal 7 4 2" xfId="3634" xr:uid="{00000000-0005-0000-0000-0000010F0000}"/>
    <cellStyle name="Normal 7 5" xfId="3635" xr:uid="{00000000-0005-0000-0000-0000020F0000}"/>
    <cellStyle name="Normal 7 5 2" xfId="3636" xr:uid="{00000000-0005-0000-0000-0000030F0000}"/>
    <cellStyle name="Normal 7 6" xfId="3637" xr:uid="{00000000-0005-0000-0000-0000040F0000}"/>
    <cellStyle name="Normal 7 7" xfId="4155" xr:uid="{00000000-0005-0000-0000-0000050F0000}"/>
    <cellStyle name="Normal 72" xfId="4346" xr:uid="{00000000-0005-0000-0000-0000060F0000}"/>
    <cellStyle name="Normal 8" xfId="3638" xr:uid="{00000000-0005-0000-0000-0000070F0000}"/>
    <cellStyle name="Normal 8 14" xfId="4673" xr:uid="{00000000-0005-0000-0000-0000080F0000}"/>
    <cellStyle name="Normal 8 2" xfId="3639" xr:uid="{00000000-0005-0000-0000-0000090F0000}"/>
    <cellStyle name="Normal 8 2 2" xfId="3640" xr:uid="{00000000-0005-0000-0000-00000A0F0000}"/>
    <cellStyle name="Normal 8 2 2 2" xfId="4582" xr:uid="{00000000-0005-0000-0000-00000B0F0000}"/>
    <cellStyle name="Normal 8 2 2 3" xfId="4583" xr:uid="{00000000-0005-0000-0000-00000C0F0000}"/>
    <cellStyle name="Normal 8 2 2 4" xfId="4584" xr:uid="{00000000-0005-0000-0000-00000D0F0000}"/>
    <cellStyle name="Normal 8 2 3" xfId="4585" xr:uid="{00000000-0005-0000-0000-00000E0F0000}"/>
    <cellStyle name="Normal 8 2 4" xfId="4586" xr:uid="{00000000-0005-0000-0000-00000F0F0000}"/>
    <cellStyle name="Normal 8 2 5" xfId="4587" xr:uid="{00000000-0005-0000-0000-0000100F0000}"/>
    <cellStyle name="Normal 8 3" xfId="3641" xr:uid="{00000000-0005-0000-0000-0000110F0000}"/>
    <cellStyle name="Normal 8 3 2" xfId="3642" xr:uid="{00000000-0005-0000-0000-0000120F0000}"/>
    <cellStyle name="Normal 8 3 3" xfId="4588" xr:uid="{00000000-0005-0000-0000-0000130F0000}"/>
    <cellStyle name="Normal 8 3 4" xfId="4589" xr:uid="{00000000-0005-0000-0000-0000140F0000}"/>
    <cellStyle name="Normal 8 4" xfId="3643" xr:uid="{00000000-0005-0000-0000-0000150F0000}"/>
    <cellStyle name="Normal 8 4 2" xfId="3644" xr:uid="{00000000-0005-0000-0000-0000160F0000}"/>
    <cellStyle name="Normal 8 5" xfId="3645" xr:uid="{00000000-0005-0000-0000-0000170F0000}"/>
    <cellStyle name="Normal 8 5 2" xfId="3646" xr:uid="{00000000-0005-0000-0000-0000180F0000}"/>
    <cellStyle name="Normal 8 6" xfId="3647" xr:uid="{00000000-0005-0000-0000-0000190F0000}"/>
    <cellStyle name="Normal 9" xfId="3648" xr:uid="{00000000-0005-0000-0000-00001A0F0000}"/>
    <cellStyle name="Normal 9 10" xfId="3649" xr:uid="{00000000-0005-0000-0000-00001B0F0000}"/>
    <cellStyle name="Normal 9 10 2" xfId="3650" xr:uid="{00000000-0005-0000-0000-00001C0F0000}"/>
    <cellStyle name="Normal 9 10 2 2" xfId="3651" xr:uid="{00000000-0005-0000-0000-00001D0F0000}"/>
    <cellStyle name="Normal 9 10 3" xfId="3652" xr:uid="{00000000-0005-0000-0000-00001E0F0000}"/>
    <cellStyle name="Normal 9 11" xfId="3653" xr:uid="{00000000-0005-0000-0000-00001F0F0000}"/>
    <cellStyle name="Normal 9 11 2" xfId="3654" xr:uid="{00000000-0005-0000-0000-0000200F0000}"/>
    <cellStyle name="Normal 9 11 2 2" xfId="3655" xr:uid="{00000000-0005-0000-0000-0000210F0000}"/>
    <cellStyle name="Normal 9 11 3" xfId="3656" xr:uid="{00000000-0005-0000-0000-0000220F0000}"/>
    <cellStyle name="Normal 9 12" xfId="3657" xr:uid="{00000000-0005-0000-0000-0000230F0000}"/>
    <cellStyle name="Normal 9 12 2" xfId="3658" xr:uid="{00000000-0005-0000-0000-0000240F0000}"/>
    <cellStyle name="Normal 9 12 2 2" xfId="3659" xr:uid="{00000000-0005-0000-0000-0000250F0000}"/>
    <cellStyle name="Normal 9 12 3" xfId="3660" xr:uid="{00000000-0005-0000-0000-0000260F0000}"/>
    <cellStyle name="Normal 9 13" xfId="3661" xr:uid="{00000000-0005-0000-0000-0000270F0000}"/>
    <cellStyle name="Normal 9 13 2" xfId="3662" xr:uid="{00000000-0005-0000-0000-0000280F0000}"/>
    <cellStyle name="Normal 9 13 2 2" xfId="3663" xr:uid="{00000000-0005-0000-0000-0000290F0000}"/>
    <cellStyle name="Normal 9 13 3" xfId="3664" xr:uid="{00000000-0005-0000-0000-00002A0F0000}"/>
    <cellStyle name="Normal 9 14" xfId="3665" xr:uid="{00000000-0005-0000-0000-00002B0F0000}"/>
    <cellStyle name="Normal 9 14 2" xfId="3666" xr:uid="{00000000-0005-0000-0000-00002C0F0000}"/>
    <cellStyle name="Normal 9 14 2 2" xfId="3667" xr:uid="{00000000-0005-0000-0000-00002D0F0000}"/>
    <cellStyle name="Normal 9 14 3" xfId="3668" xr:uid="{00000000-0005-0000-0000-00002E0F0000}"/>
    <cellStyle name="Normal 9 15" xfId="3669" xr:uid="{00000000-0005-0000-0000-00002F0F0000}"/>
    <cellStyle name="Normal 9 15 2" xfId="3670" xr:uid="{00000000-0005-0000-0000-0000300F0000}"/>
    <cellStyle name="Normal 9 15 2 2" xfId="3671" xr:uid="{00000000-0005-0000-0000-0000310F0000}"/>
    <cellStyle name="Normal 9 15 3" xfId="3672" xr:uid="{00000000-0005-0000-0000-0000320F0000}"/>
    <cellStyle name="Normal 9 16" xfId="3673" xr:uid="{00000000-0005-0000-0000-0000330F0000}"/>
    <cellStyle name="Normal 9 16 2" xfId="3674" xr:uid="{00000000-0005-0000-0000-0000340F0000}"/>
    <cellStyle name="Normal 9 17" xfId="3675" xr:uid="{00000000-0005-0000-0000-0000350F0000}"/>
    <cellStyle name="Normal 9 2" xfId="3676" xr:uid="{00000000-0005-0000-0000-0000360F0000}"/>
    <cellStyle name="Normal 9 2 2" xfId="3677" xr:uid="{00000000-0005-0000-0000-0000370F0000}"/>
    <cellStyle name="Normal 9 2 2 2" xfId="3678" xr:uid="{00000000-0005-0000-0000-0000380F0000}"/>
    <cellStyle name="Normal 9 2 2 3" xfId="4590" xr:uid="{00000000-0005-0000-0000-0000390F0000}"/>
    <cellStyle name="Normal 9 2 2 4" xfId="4591" xr:uid="{00000000-0005-0000-0000-00003A0F0000}"/>
    <cellStyle name="Normal 9 2 3" xfId="3679" xr:uid="{00000000-0005-0000-0000-00003B0F0000}"/>
    <cellStyle name="Normal 9 2 4" xfId="4592" xr:uid="{00000000-0005-0000-0000-00003C0F0000}"/>
    <cellStyle name="Normal 9 2 5" xfId="4593" xr:uid="{00000000-0005-0000-0000-00003D0F0000}"/>
    <cellStyle name="Normal 9 3" xfId="3680" xr:uid="{00000000-0005-0000-0000-00003E0F0000}"/>
    <cellStyle name="Normal 9 3 2" xfId="3681" xr:uid="{00000000-0005-0000-0000-00003F0F0000}"/>
    <cellStyle name="Normal 9 3 2 2" xfId="3682" xr:uid="{00000000-0005-0000-0000-0000400F0000}"/>
    <cellStyle name="Normal 9 3 3" xfId="3683" xr:uid="{00000000-0005-0000-0000-0000410F0000}"/>
    <cellStyle name="Normal 9 3 4" xfId="4594" xr:uid="{00000000-0005-0000-0000-0000420F0000}"/>
    <cellStyle name="Normal 9 4" xfId="3684" xr:uid="{00000000-0005-0000-0000-0000430F0000}"/>
    <cellStyle name="Normal 9 4 2" xfId="3685" xr:uid="{00000000-0005-0000-0000-0000440F0000}"/>
    <cellStyle name="Normal 9 4 2 2" xfId="3686" xr:uid="{00000000-0005-0000-0000-0000450F0000}"/>
    <cellStyle name="Normal 9 4 3" xfId="3687" xr:uid="{00000000-0005-0000-0000-0000460F0000}"/>
    <cellStyle name="Normal 9 5" xfId="3688" xr:uid="{00000000-0005-0000-0000-0000470F0000}"/>
    <cellStyle name="Normal 9 5 2" xfId="3689" xr:uid="{00000000-0005-0000-0000-0000480F0000}"/>
    <cellStyle name="Normal 9 5 2 2" xfId="3690" xr:uid="{00000000-0005-0000-0000-0000490F0000}"/>
    <cellStyle name="Normal 9 5 3" xfId="3691" xr:uid="{00000000-0005-0000-0000-00004A0F0000}"/>
    <cellStyle name="Normal 9 6" xfId="3692" xr:uid="{00000000-0005-0000-0000-00004B0F0000}"/>
    <cellStyle name="Normal 9 6 2" xfId="3693" xr:uid="{00000000-0005-0000-0000-00004C0F0000}"/>
    <cellStyle name="Normal 9 6 2 2" xfId="3694" xr:uid="{00000000-0005-0000-0000-00004D0F0000}"/>
    <cellStyle name="Normal 9 6 3" xfId="3695" xr:uid="{00000000-0005-0000-0000-00004E0F0000}"/>
    <cellStyle name="Normal 9 7" xfId="3696" xr:uid="{00000000-0005-0000-0000-00004F0F0000}"/>
    <cellStyle name="Normal 9 7 2" xfId="3697" xr:uid="{00000000-0005-0000-0000-0000500F0000}"/>
    <cellStyle name="Normal 9 7 2 2" xfId="3698" xr:uid="{00000000-0005-0000-0000-0000510F0000}"/>
    <cellStyle name="Normal 9 7 3" xfId="3699" xr:uid="{00000000-0005-0000-0000-0000520F0000}"/>
    <cellStyle name="Normal 9 8" xfId="3700" xr:uid="{00000000-0005-0000-0000-0000530F0000}"/>
    <cellStyle name="Normal 9 8 2" xfId="3701" xr:uid="{00000000-0005-0000-0000-0000540F0000}"/>
    <cellStyle name="Normal 9 8 2 2" xfId="3702" xr:uid="{00000000-0005-0000-0000-0000550F0000}"/>
    <cellStyle name="Normal 9 8 3" xfId="3703" xr:uid="{00000000-0005-0000-0000-0000560F0000}"/>
    <cellStyle name="Normal 9 9" xfId="3704" xr:uid="{00000000-0005-0000-0000-0000570F0000}"/>
    <cellStyle name="Normal 9 9 2" xfId="3705" xr:uid="{00000000-0005-0000-0000-0000580F0000}"/>
    <cellStyle name="Normal 9 9 2 2" xfId="3706" xr:uid="{00000000-0005-0000-0000-0000590F0000}"/>
    <cellStyle name="Normal 9 9 3" xfId="3707" xr:uid="{00000000-0005-0000-0000-00005A0F0000}"/>
    <cellStyle name="Normal 96" xfId="3708" xr:uid="{00000000-0005-0000-0000-00005B0F0000}"/>
    <cellStyle name="Normal 96 2" xfId="3709" xr:uid="{00000000-0005-0000-0000-00005C0F0000}"/>
    <cellStyle name="Normal CEN" xfId="125" xr:uid="{00000000-0005-0000-0000-00005D0F0000}"/>
    <cellStyle name="Normal Centered" xfId="126" xr:uid="{00000000-0005-0000-0000-00005E0F0000}"/>
    <cellStyle name="NORMAL CTR" xfId="127" xr:uid="{00000000-0005-0000-0000-00005F0F0000}"/>
    <cellStyle name="Normal_0112 No Link Exp" xfId="4473" xr:uid="{00000000-0005-0000-0000-0000600F0000}"/>
    <cellStyle name="Normal_21 Exh B" xfId="4595" xr:uid="{00000000-0005-0000-0000-0000610F0000}"/>
    <cellStyle name="Normal_ADITAnalysisID090805" xfId="4670" xr:uid="{00000000-0005-0000-0000-0000620F0000}"/>
    <cellStyle name="Normal_ATC Projected 2008 Monthly Plant Balances for Attachment O 2 (2)" xfId="4596" xr:uid="{00000000-0005-0000-0000-0000630F0000}"/>
    <cellStyle name="Normal_Attachment O &amp; GG Final 11_11_09" xfId="4664" xr:uid="{00000000-0005-0000-0000-0000640F0000}"/>
    <cellStyle name="Normal_Attachment Os for 2002 True-up" xfId="4597" xr:uid="{00000000-0005-0000-0000-0000650F0000}"/>
    <cellStyle name="Normal_Duquesne Settled Fromula 10-3-07" xfId="4476" xr:uid="{00000000-0005-0000-0000-0000660F0000}"/>
    <cellStyle name="Normal_FN1 Ratebase Draft SPP template (6-11-04) v2" xfId="4668" xr:uid="{00000000-0005-0000-0000-0000670F0000}"/>
    <cellStyle name="Normal_KCPL Transmission  Formula Rate 9-11-09ach" xfId="4669" xr:uid="{00000000-0005-0000-0000-0000680F0000}"/>
    <cellStyle name="Normal_PRECorp2002HeintzResponse 8-21-03" xfId="4" xr:uid="{00000000-0005-0000-0000-0000690F0000}"/>
    <cellStyle name="Normal_Revised Table 8 &amp; 22" xfId="4471" xr:uid="{00000000-0005-0000-0000-00006A0F0000}"/>
    <cellStyle name="Normal_Schedule O Info for Mike" xfId="4598" xr:uid="{00000000-0005-0000-0000-00006B0F0000}"/>
    <cellStyle name="Note 10" xfId="3710" xr:uid="{00000000-0005-0000-0000-00006C0F0000}"/>
    <cellStyle name="Note 10 2" xfId="3711" xr:uid="{00000000-0005-0000-0000-00006D0F0000}"/>
    <cellStyle name="Note 10 2 2" xfId="3712" xr:uid="{00000000-0005-0000-0000-00006E0F0000}"/>
    <cellStyle name="Note 10 3" xfId="3713" xr:uid="{00000000-0005-0000-0000-00006F0F0000}"/>
    <cellStyle name="Note 11" xfId="3714" xr:uid="{00000000-0005-0000-0000-0000700F0000}"/>
    <cellStyle name="Note 11 2" xfId="3715" xr:uid="{00000000-0005-0000-0000-0000710F0000}"/>
    <cellStyle name="Note 11 2 2" xfId="3716" xr:uid="{00000000-0005-0000-0000-0000720F0000}"/>
    <cellStyle name="Note 11 3" xfId="3717" xr:uid="{00000000-0005-0000-0000-0000730F0000}"/>
    <cellStyle name="Note 12" xfId="3718" xr:uid="{00000000-0005-0000-0000-0000740F0000}"/>
    <cellStyle name="Note 12 2" xfId="3719" xr:uid="{00000000-0005-0000-0000-0000750F0000}"/>
    <cellStyle name="Note 12 2 2" xfId="3720" xr:uid="{00000000-0005-0000-0000-0000760F0000}"/>
    <cellStyle name="Note 12 3" xfId="3721" xr:uid="{00000000-0005-0000-0000-0000770F0000}"/>
    <cellStyle name="Note 13" xfId="3722" xr:uid="{00000000-0005-0000-0000-0000780F0000}"/>
    <cellStyle name="Note 13 2" xfId="3723" xr:uid="{00000000-0005-0000-0000-0000790F0000}"/>
    <cellStyle name="Note 13 2 2" xfId="3724" xr:uid="{00000000-0005-0000-0000-00007A0F0000}"/>
    <cellStyle name="Note 13 3" xfId="3725" xr:uid="{00000000-0005-0000-0000-00007B0F0000}"/>
    <cellStyle name="Note 14" xfId="3726" xr:uid="{00000000-0005-0000-0000-00007C0F0000}"/>
    <cellStyle name="Note 14 2" xfId="3727" xr:uid="{00000000-0005-0000-0000-00007D0F0000}"/>
    <cellStyle name="Note 14 2 2" xfId="3728" xr:uid="{00000000-0005-0000-0000-00007E0F0000}"/>
    <cellStyle name="Note 14 3" xfId="3729" xr:uid="{00000000-0005-0000-0000-00007F0F0000}"/>
    <cellStyle name="Note 15" xfId="3730" xr:uid="{00000000-0005-0000-0000-0000800F0000}"/>
    <cellStyle name="Note 15 2" xfId="3731" xr:uid="{00000000-0005-0000-0000-0000810F0000}"/>
    <cellStyle name="Note 15 2 2" xfId="3732" xr:uid="{00000000-0005-0000-0000-0000820F0000}"/>
    <cellStyle name="Note 15 3" xfId="3733" xr:uid="{00000000-0005-0000-0000-0000830F0000}"/>
    <cellStyle name="Note 15 3 2" xfId="3734" xr:uid="{00000000-0005-0000-0000-0000840F0000}"/>
    <cellStyle name="Note 15 4" xfId="3735" xr:uid="{00000000-0005-0000-0000-0000850F0000}"/>
    <cellStyle name="Note 15 4 2" xfId="3736" xr:uid="{00000000-0005-0000-0000-0000860F0000}"/>
    <cellStyle name="Note 15 5" xfId="3737" xr:uid="{00000000-0005-0000-0000-0000870F0000}"/>
    <cellStyle name="Note 15 5 2" xfId="3738" xr:uid="{00000000-0005-0000-0000-0000880F0000}"/>
    <cellStyle name="Note 15 6" xfId="3739" xr:uid="{00000000-0005-0000-0000-0000890F0000}"/>
    <cellStyle name="Note 16" xfId="3740" xr:uid="{00000000-0005-0000-0000-00008A0F0000}"/>
    <cellStyle name="Note 16 2" xfId="3741" xr:uid="{00000000-0005-0000-0000-00008B0F0000}"/>
    <cellStyle name="Note 16 2 2" xfId="3742" xr:uid="{00000000-0005-0000-0000-00008C0F0000}"/>
    <cellStyle name="Note 16 3" xfId="3743" xr:uid="{00000000-0005-0000-0000-00008D0F0000}"/>
    <cellStyle name="Note 16 3 2" xfId="3744" xr:uid="{00000000-0005-0000-0000-00008E0F0000}"/>
    <cellStyle name="Note 16 4" xfId="3745" xr:uid="{00000000-0005-0000-0000-00008F0F0000}"/>
    <cellStyle name="Note 16 4 2" xfId="3746" xr:uid="{00000000-0005-0000-0000-0000900F0000}"/>
    <cellStyle name="Note 16 5" xfId="3747" xr:uid="{00000000-0005-0000-0000-0000910F0000}"/>
    <cellStyle name="Note 16 5 2" xfId="3748" xr:uid="{00000000-0005-0000-0000-0000920F0000}"/>
    <cellStyle name="Note 16 6" xfId="3749" xr:uid="{00000000-0005-0000-0000-0000930F0000}"/>
    <cellStyle name="Note 17" xfId="3750" xr:uid="{00000000-0005-0000-0000-0000940F0000}"/>
    <cellStyle name="Note 17 2" xfId="3751" xr:uid="{00000000-0005-0000-0000-0000950F0000}"/>
    <cellStyle name="Note 17 2 2" xfId="3752" xr:uid="{00000000-0005-0000-0000-0000960F0000}"/>
    <cellStyle name="Note 17 3" xfId="3753" xr:uid="{00000000-0005-0000-0000-0000970F0000}"/>
    <cellStyle name="Note 17 3 2" xfId="3754" xr:uid="{00000000-0005-0000-0000-0000980F0000}"/>
    <cellStyle name="Note 17 4" xfId="3755" xr:uid="{00000000-0005-0000-0000-0000990F0000}"/>
    <cellStyle name="Note 17 4 2" xfId="3756" xr:uid="{00000000-0005-0000-0000-00009A0F0000}"/>
    <cellStyle name="Note 17 5" xfId="3757" xr:uid="{00000000-0005-0000-0000-00009B0F0000}"/>
    <cellStyle name="Note 17 5 2" xfId="3758" xr:uid="{00000000-0005-0000-0000-00009C0F0000}"/>
    <cellStyle name="Note 17 6" xfId="3759" xr:uid="{00000000-0005-0000-0000-00009D0F0000}"/>
    <cellStyle name="Note 18" xfId="3760" xr:uid="{00000000-0005-0000-0000-00009E0F0000}"/>
    <cellStyle name="Note 18 2" xfId="3761" xr:uid="{00000000-0005-0000-0000-00009F0F0000}"/>
    <cellStyle name="Note 18 2 2" xfId="3762" xr:uid="{00000000-0005-0000-0000-0000A00F0000}"/>
    <cellStyle name="Note 18 3" xfId="3763" xr:uid="{00000000-0005-0000-0000-0000A10F0000}"/>
    <cellStyle name="Note 18 3 2" xfId="3764" xr:uid="{00000000-0005-0000-0000-0000A20F0000}"/>
    <cellStyle name="Note 18 4" xfId="3765" xr:uid="{00000000-0005-0000-0000-0000A30F0000}"/>
    <cellStyle name="Note 18 4 2" xfId="3766" xr:uid="{00000000-0005-0000-0000-0000A40F0000}"/>
    <cellStyle name="Note 18 5" xfId="3767" xr:uid="{00000000-0005-0000-0000-0000A50F0000}"/>
    <cellStyle name="Note 18 5 2" xfId="3768" xr:uid="{00000000-0005-0000-0000-0000A60F0000}"/>
    <cellStyle name="Note 18 6" xfId="3769" xr:uid="{00000000-0005-0000-0000-0000A70F0000}"/>
    <cellStyle name="Note 19" xfId="3770" xr:uid="{00000000-0005-0000-0000-0000A80F0000}"/>
    <cellStyle name="Note 19 2" xfId="3771" xr:uid="{00000000-0005-0000-0000-0000A90F0000}"/>
    <cellStyle name="Note 19 2 2" xfId="3772" xr:uid="{00000000-0005-0000-0000-0000AA0F0000}"/>
    <cellStyle name="Note 19 3" xfId="3773" xr:uid="{00000000-0005-0000-0000-0000AB0F0000}"/>
    <cellStyle name="Note 19 3 2" xfId="3774" xr:uid="{00000000-0005-0000-0000-0000AC0F0000}"/>
    <cellStyle name="Note 19 4" xfId="3775" xr:uid="{00000000-0005-0000-0000-0000AD0F0000}"/>
    <cellStyle name="Note 19 4 2" xfId="3776" xr:uid="{00000000-0005-0000-0000-0000AE0F0000}"/>
    <cellStyle name="Note 19 5" xfId="3777" xr:uid="{00000000-0005-0000-0000-0000AF0F0000}"/>
    <cellStyle name="Note 19 5 2" xfId="3778" xr:uid="{00000000-0005-0000-0000-0000B00F0000}"/>
    <cellStyle name="Note 19 6" xfId="3779" xr:uid="{00000000-0005-0000-0000-0000B10F0000}"/>
    <cellStyle name="Note 2" xfId="128" xr:uid="{00000000-0005-0000-0000-0000B20F0000}"/>
    <cellStyle name="Note 2 2" xfId="3780" xr:uid="{00000000-0005-0000-0000-0000B30F0000}"/>
    <cellStyle name="Note 2 2 2" xfId="3781" xr:uid="{00000000-0005-0000-0000-0000B40F0000}"/>
    <cellStyle name="Note 2 3" xfId="3782" xr:uid="{00000000-0005-0000-0000-0000B50F0000}"/>
    <cellStyle name="Note 20" xfId="3783" xr:uid="{00000000-0005-0000-0000-0000B60F0000}"/>
    <cellStyle name="Note 20 2" xfId="3784" xr:uid="{00000000-0005-0000-0000-0000B70F0000}"/>
    <cellStyle name="Note 20 2 2" xfId="3785" xr:uid="{00000000-0005-0000-0000-0000B80F0000}"/>
    <cellStyle name="Note 20 3" xfId="3786" xr:uid="{00000000-0005-0000-0000-0000B90F0000}"/>
    <cellStyle name="Note 20 3 2" xfId="3787" xr:uid="{00000000-0005-0000-0000-0000BA0F0000}"/>
    <cellStyle name="Note 20 4" xfId="3788" xr:uid="{00000000-0005-0000-0000-0000BB0F0000}"/>
    <cellStyle name="Note 20 4 2" xfId="3789" xr:uid="{00000000-0005-0000-0000-0000BC0F0000}"/>
    <cellStyle name="Note 20 5" xfId="3790" xr:uid="{00000000-0005-0000-0000-0000BD0F0000}"/>
    <cellStyle name="Note 20 5 2" xfId="3791" xr:uid="{00000000-0005-0000-0000-0000BE0F0000}"/>
    <cellStyle name="Note 20 6" xfId="3792" xr:uid="{00000000-0005-0000-0000-0000BF0F0000}"/>
    <cellStyle name="Note 21" xfId="3793" xr:uid="{00000000-0005-0000-0000-0000C00F0000}"/>
    <cellStyle name="Note 21 2" xfId="3794" xr:uid="{00000000-0005-0000-0000-0000C10F0000}"/>
    <cellStyle name="Note 21 2 2" xfId="3795" xr:uid="{00000000-0005-0000-0000-0000C20F0000}"/>
    <cellStyle name="Note 21 3" xfId="3796" xr:uid="{00000000-0005-0000-0000-0000C30F0000}"/>
    <cellStyle name="Note 21 3 2" xfId="3797" xr:uid="{00000000-0005-0000-0000-0000C40F0000}"/>
    <cellStyle name="Note 21 4" xfId="3798" xr:uid="{00000000-0005-0000-0000-0000C50F0000}"/>
    <cellStyle name="Note 21 4 2" xfId="3799" xr:uid="{00000000-0005-0000-0000-0000C60F0000}"/>
    <cellStyle name="Note 21 5" xfId="3800" xr:uid="{00000000-0005-0000-0000-0000C70F0000}"/>
    <cellStyle name="Note 21 5 2" xfId="3801" xr:uid="{00000000-0005-0000-0000-0000C80F0000}"/>
    <cellStyle name="Note 21 6" xfId="3802" xr:uid="{00000000-0005-0000-0000-0000C90F0000}"/>
    <cellStyle name="Note 21 6 2" xfId="3803" xr:uid="{00000000-0005-0000-0000-0000CA0F0000}"/>
    <cellStyle name="Note 21 7" xfId="3804" xr:uid="{00000000-0005-0000-0000-0000CB0F0000}"/>
    <cellStyle name="Note 21 7 2" xfId="3805" xr:uid="{00000000-0005-0000-0000-0000CC0F0000}"/>
    <cellStyle name="Note 21 8" xfId="3806" xr:uid="{00000000-0005-0000-0000-0000CD0F0000}"/>
    <cellStyle name="Note 22" xfId="3807" xr:uid="{00000000-0005-0000-0000-0000CE0F0000}"/>
    <cellStyle name="Note 22 2" xfId="3808" xr:uid="{00000000-0005-0000-0000-0000CF0F0000}"/>
    <cellStyle name="Note 22 2 2" xfId="3809" xr:uid="{00000000-0005-0000-0000-0000D00F0000}"/>
    <cellStyle name="Note 22 3" xfId="3810" xr:uid="{00000000-0005-0000-0000-0000D10F0000}"/>
    <cellStyle name="Note 22 3 2" xfId="3811" xr:uid="{00000000-0005-0000-0000-0000D20F0000}"/>
    <cellStyle name="Note 22 4" xfId="3812" xr:uid="{00000000-0005-0000-0000-0000D30F0000}"/>
    <cellStyle name="Note 22 4 2" xfId="3813" xr:uid="{00000000-0005-0000-0000-0000D40F0000}"/>
    <cellStyle name="Note 22 5" xfId="3814" xr:uid="{00000000-0005-0000-0000-0000D50F0000}"/>
    <cellStyle name="Note 22 5 2" xfId="3815" xr:uid="{00000000-0005-0000-0000-0000D60F0000}"/>
    <cellStyle name="Note 22 6" xfId="3816" xr:uid="{00000000-0005-0000-0000-0000D70F0000}"/>
    <cellStyle name="Note 22 6 2" xfId="3817" xr:uid="{00000000-0005-0000-0000-0000D80F0000}"/>
    <cellStyle name="Note 22 7" xfId="3818" xr:uid="{00000000-0005-0000-0000-0000D90F0000}"/>
    <cellStyle name="Note 22 7 2" xfId="3819" xr:uid="{00000000-0005-0000-0000-0000DA0F0000}"/>
    <cellStyle name="Note 22 8" xfId="3820" xr:uid="{00000000-0005-0000-0000-0000DB0F0000}"/>
    <cellStyle name="Note 23" xfId="3821" xr:uid="{00000000-0005-0000-0000-0000DC0F0000}"/>
    <cellStyle name="Note 23 2" xfId="3822" xr:uid="{00000000-0005-0000-0000-0000DD0F0000}"/>
    <cellStyle name="Note 23 2 2" xfId="3823" xr:uid="{00000000-0005-0000-0000-0000DE0F0000}"/>
    <cellStyle name="Note 23 3" xfId="3824" xr:uid="{00000000-0005-0000-0000-0000DF0F0000}"/>
    <cellStyle name="Note 23 3 2" xfId="3825" xr:uid="{00000000-0005-0000-0000-0000E00F0000}"/>
    <cellStyle name="Note 23 4" xfId="3826" xr:uid="{00000000-0005-0000-0000-0000E10F0000}"/>
    <cellStyle name="Note 23 4 2" xfId="3827" xr:uid="{00000000-0005-0000-0000-0000E20F0000}"/>
    <cellStyle name="Note 23 5" xfId="3828" xr:uid="{00000000-0005-0000-0000-0000E30F0000}"/>
    <cellStyle name="Note 23 5 2" xfId="3829" xr:uid="{00000000-0005-0000-0000-0000E40F0000}"/>
    <cellStyle name="Note 23 6" xfId="3830" xr:uid="{00000000-0005-0000-0000-0000E50F0000}"/>
    <cellStyle name="Note 23 6 2" xfId="3831" xr:uid="{00000000-0005-0000-0000-0000E60F0000}"/>
    <cellStyle name="Note 23 7" xfId="3832" xr:uid="{00000000-0005-0000-0000-0000E70F0000}"/>
    <cellStyle name="Note 23 7 2" xfId="3833" xr:uid="{00000000-0005-0000-0000-0000E80F0000}"/>
    <cellStyle name="Note 23 8" xfId="3834" xr:uid="{00000000-0005-0000-0000-0000E90F0000}"/>
    <cellStyle name="Note 24" xfId="3835" xr:uid="{00000000-0005-0000-0000-0000EA0F0000}"/>
    <cellStyle name="Note 24 2" xfId="3836" xr:uid="{00000000-0005-0000-0000-0000EB0F0000}"/>
    <cellStyle name="Note 24 2 2" xfId="3837" xr:uid="{00000000-0005-0000-0000-0000EC0F0000}"/>
    <cellStyle name="Note 24 3" xfId="3838" xr:uid="{00000000-0005-0000-0000-0000ED0F0000}"/>
    <cellStyle name="Note 24 3 2" xfId="3839" xr:uid="{00000000-0005-0000-0000-0000EE0F0000}"/>
    <cellStyle name="Note 24 4" xfId="3840" xr:uid="{00000000-0005-0000-0000-0000EF0F0000}"/>
    <cellStyle name="Note 24 4 2" xfId="3841" xr:uid="{00000000-0005-0000-0000-0000F00F0000}"/>
    <cellStyle name="Note 24 5" xfId="3842" xr:uid="{00000000-0005-0000-0000-0000F10F0000}"/>
    <cellStyle name="Note 24 5 2" xfId="3843" xr:uid="{00000000-0005-0000-0000-0000F20F0000}"/>
    <cellStyle name="Note 24 6" xfId="3844" xr:uid="{00000000-0005-0000-0000-0000F30F0000}"/>
    <cellStyle name="Note 24 6 2" xfId="3845" xr:uid="{00000000-0005-0000-0000-0000F40F0000}"/>
    <cellStyle name="Note 24 7" xfId="3846" xr:uid="{00000000-0005-0000-0000-0000F50F0000}"/>
    <cellStyle name="Note 24 7 2" xfId="3847" xr:uid="{00000000-0005-0000-0000-0000F60F0000}"/>
    <cellStyle name="Note 24 8" xfId="3848" xr:uid="{00000000-0005-0000-0000-0000F70F0000}"/>
    <cellStyle name="Note 25" xfId="3849" xr:uid="{00000000-0005-0000-0000-0000F80F0000}"/>
    <cellStyle name="Note 25 2" xfId="3850" xr:uid="{00000000-0005-0000-0000-0000F90F0000}"/>
    <cellStyle name="Note 25 2 2" xfId="3851" xr:uid="{00000000-0005-0000-0000-0000FA0F0000}"/>
    <cellStyle name="Note 25 3" xfId="3852" xr:uid="{00000000-0005-0000-0000-0000FB0F0000}"/>
    <cellStyle name="Note 25 3 2" xfId="3853" xr:uid="{00000000-0005-0000-0000-0000FC0F0000}"/>
    <cellStyle name="Note 25 4" xfId="3854" xr:uid="{00000000-0005-0000-0000-0000FD0F0000}"/>
    <cellStyle name="Note 25 4 2" xfId="3855" xr:uid="{00000000-0005-0000-0000-0000FE0F0000}"/>
    <cellStyle name="Note 25 5" xfId="3856" xr:uid="{00000000-0005-0000-0000-0000FF0F0000}"/>
    <cellStyle name="Note 25 5 2" xfId="3857" xr:uid="{00000000-0005-0000-0000-000000100000}"/>
    <cellStyle name="Note 25 6" xfId="3858" xr:uid="{00000000-0005-0000-0000-000001100000}"/>
    <cellStyle name="Note 26" xfId="3859" xr:uid="{00000000-0005-0000-0000-000002100000}"/>
    <cellStyle name="Note 26 2" xfId="3860" xr:uid="{00000000-0005-0000-0000-000003100000}"/>
    <cellStyle name="Note 26 2 2" xfId="3861" xr:uid="{00000000-0005-0000-0000-000004100000}"/>
    <cellStyle name="Note 26 3" xfId="3862" xr:uid="{00000000-0005-0000-0000-000005100000}"/>
    <cellStyle name="Note 26 3 2" xfId="3863" xr:uid="{00000000-0005-0000-0000-000006100000}"/>
    <cellStyle name="Note 26 4" xfId="3864" xr:uid="{00000000-0005-0000-0000-000007100000}"/>
    <cellStyle name="Note 26 4 2" xfId="3865" xr:uid="{00000000-0005-0000-0000-000008100000}"/>
    <cellStyle name="Note 26 5" xfId="3866" xr:uid="{00000000-0005-0000-0000-000009100000}"/>
    <cellStyle name="Note 26 5 2" xfId="3867" xr:uid="{00000000-0005-0000-0000-00000A100000}"/>
    <cellStyle name="Note 26 6" xfId="3868" xr:uid="{00000000-0005-0000-0000-00000B100000}"/>
    <cellStyle name="Note 27" xfId="3869" xr:uid="{00000000-0005-0000-0000-00000C100000}"/>
    <cellStyle name="Note 27 2" xfId="3870" xr:uid="{00000000-0005-0000-0000-00000D100000}"/>
    <cellStyle name="Note 27 2 2" xfId="3871" xr:uid="{00000000-0005-0000-0000-00000E100000}"/>
    <cellStyle name="Note 27 3" xfId="3872" xr:uid="{00000000-0005-0000-0000-00000F100000}"/>
    <cellStyle name="Note 27 3 2" xfId="3873" xr:uid="{00000000-0005-0000-0000-000010100000}"/>
    <cellStyle name="Note 27 4" xfId="3874" xr:uid="{00000000-0005-0000-0000-000011100000}"/>
    <cellStyle name="Note 27 4 2" xfId="3875" xr:uid="{00000000-0005-0000-0000-000012100000}"/>
    <cellStyle name="Note 27 5" xfId="3876" xr:uid="{00000000-0005-0000-0000-000013100000}"/>
    <cellStyle name="Note 27 5 2" xfId="3877" xr:uid="{00000000-0005-0000-0000-000014100000}"/>
    <cellStyle name="Note 27 6" xfId="3878" xr:uid="{00000000-0005-0000-0000-000015100000}"/>
    <cellStyle name="Note 28" xfId="3879" xr:uid="{00000000-0005-0000-0000-000016100000}"/>
    <cellStyle name="Note 28 2" xfId="3880" xr:uid="{00000000-0005-0000-0000-000017100000}"/>
    <cellStyle name="Note 28 2 2" xfId="3881" xr:uid="{00000000-0005-0000-0000-000018100000}"/>
    <cellStyle name="Note 28 3" xfId="3882" xr:uid="{00000000-0005-0000-0000-000019100000}"/>
    <cellStyle name="Note 28 3 2" xfId="3883" xr:uid="{00000000-0005-0000-0000-00001A100000}"/>
    <cellStyle name="Note 28 4" xfId="3884" xr:uid="{00000000-0005-0000-0000-00001B100000}"/>
    <cellStyle name="Note 28 4 2" xfId="3885" xr:uid="{00000000-0005-0000-0000-00001C100000}"/>
    <cellStyle name="Note 28 5" xfId="3886" xr:uid="{00000000-0005-0000-0000-00001D100000}"/>
    <cellStyle name="Note 28 5 2" xfId="3887" xr:uid="{00000000-0005-0000-0000-00001E100000}"/>
    <cellStyle name="Note 28 6" xfId="3888" xr:uid="{00000000-0005-0000-0000-00001F100000}"/>
    <cellStyle name="Note 29" xfId="3889" xr:uid="{00000000-0005-0000-0000-000020100000}"/>
    <cellStyle name="Note 29 2" xfId="3890" xr:uid="{00000000-0005-0000-0000-000021100000}"/>
    <cellStyle name="Note 29 2 2" xfId="3891" xr:uid="{00000000-0005-0000-0000-000022100000}"/>
    <cellStyle name="Note 29 3" xfId="3892" xr:uid="{00000000-0005-0000-0000-000023100000}"/>
    <cellStyle name="Note 29 3 2" xfId="3893" xr:uid="{00000000-0005-0000-0000-000024100000}"/>
    <cellStyle name="Note 29 4" xfId="3894" xr:uid="{00000000-0005-0000-0000-000025100000}"/>
    <cellStyle name="Note 29 4 2" xfId="3895" xr:uid="{00000000-0005-0000-0000-000026100000}"/>
    <cellStyle name="Note 29 5" xfId="3896" xr:uid="{00000000-0005-0000-0000-000027100000}"/>
    <cellStyle name="Note 29 5 2" xfId="3897" xr:uid="{00000000-0005-0000-0000-000028100000}"/>
    <cellStyle name="Note 29 6" xfId="3898" xr:uid="{00000000-0005-0000-0000-000029100000}"/>
    <cellStyle name="Note 3" xfId="3899" xr:uid="{00000000-0005-0000-0000-00002A100000}"/>
    <cellStyle name="Note 3 2" xfId="3900" xr:uid="{00000000-0005-0000-0000-00002B100000}"/>
    <cellStyle name="Note 3 2 2" xfId="3901" xr:uid="{00000000-0005-0000-0000-00002C100000}"/>
    <cellStyle name="Note 3 3" xfId="3902" xr:uid="{00000000-0005-0000-0000-00002D100000}"/>
    <cellStyle name="Note 30" xfId="3903" xr:uid="{00000000-0005-0000-0000-00002E100000}"/>
    <cellStyle name="Note 30 2" xfId="3904" xr:uid="{00000000-0005-0000-0000-00002F100000}"/>
    <cellStyle name="Note 30 2 2" xfId="3905" xr:uid="{00000000-0005-0000-0000-000030100000}"/>
    <cellStyle name="Note 30 3" xfId="3906" xr:uid="{00000000-0005-0000-0000-000031100000}"/>
    <cellStyle name="Note 30 3 2" xfId="3907" xr:uid="{00000000-0005-0000-0000-000032100000}"/>
    <cellStyle name="Note 30 4" xfId="3908" xr:uid="{00000000-0005-0000-0000-000033100000}"/>
    <cellStyle name="Note 30 4 2" xfId="3909" xr:uid="{00000000-0005-0000-0000-000034100000}"/>
    <cellStyle name="Note 30 5" xfId="3910" xr:uid="{00000000-0005-0000-0000-000035100000}"/>
    <cellStyle name="Note 30 5 2" xfId="3911" xr:uid="{00000000-0005-0000-0000-000036100000}"/>
    <cellStyle name="Note 30 6" xfId="3912" xr:uid="{00000000-0005-0000-0000-000037100000}"/>
    <cellStyle name="Note 31" xfId="3913" xr:uid="{00000000-0005-0000-0000-000038100000}"/>
    <cellStyle name="Note 31 2" xfId="3914" xr:uid="{00000000-0005-0000-0000-000039100000}"/>
    <cellStyle name="Note 31 2 2" xfId="3915" xr:uid="{00000000-0005-0000-0000-00003A100000}"/>
    <cellStyle name="Note 31 3" xfId="3916" xr:uid="{00000000-0005-0000-0000-00003B100000}"/>
    <cellStyle name="Note 31 3 2" xfId="3917" xr:uid="{00000000-0005-0000-0000-00003C100000}"/>
    <cellStyle name="Note 31 4" xfId="3918" xr:uid="{00000000-0005-0000-0000-00003D100000}"/>
    <cellStyle name="Note 31 4 2" xfId="3919" xr:uid="{00000000-0005-0000-0000-00003E100000}"/>
    <cellStyle name="Note 31 5" xfId="3920" xr:uid="{00000000-0005-0000-0000-00003F100000}"/>
    <cellStyle name="Note 31 5 2" xfId="3921" xr:uid="{00000000-0005-0000-0000-000040100000}"/>
    <cellStyle name="Note 31 6" xfId="3922" xr:uid="{00000000-0005-0000-0000-000041100000}"/>
    <cellStyle name="Note 31 6 2" xfId="3923" xr:uid="{00000000-0005-0000-0000-000042100000}"/>
    <cellStyle name="Note 31 7" xfId="3924" xr:uid="{00000000-0005-0000-0000-000043100000}"/>
    <cellStyle name="Note 31 7 2" xfId="3925" xr:uid="{00000000-0005-0000-0000-000044100000}"/>
    <cellStyle name="Note 31 8" xfId="3926" xr:uid="{00000000-0005-0000-0000-000045100000}"/>
    <cellStyle name="Note 32" xfId="3927" xr:uid="{00000000-0005-0000-0000-000046100000}"/>
    <cellStyle name="Note 32 2" xfId="3928" xr:uid="{00000000-0005-0000-0000-000047100000}"/>
    <cellStyle name="Note 32 2 2" xfId="3929" xr:uid="{00000000-0005-0000-0000-000048100000}"/>
    <cellStyle name="Note 32 3" xfId="3930" xr:uid="{00000000-0005-0000-0000-000049100000}"/>
    <cellStyle name="Note 32 3 2" xfId="3931" xr:uid="{00000000-0005-0000-0000-00004A100000}"/>
    <cellStyle name="Note 32 4" xfId="3932" xr:uid="{00000000-0005-0000-0000-00004B100000}"/>
    <cellStyle name="Note 32 4 2" xfId="3933" xr:uid="{00000000-0005-0000-0000-00004C100000}"/>
    <cellStyle name="Note 32 5" xfId="3934" xr:uid="{00000000-0005-0000-0000-00004D100000}"/>
    <cellStyle name="Note 32 5 2" xfId="3935" xr:uid="{00000000-0005-0000-0000-00004E100000}"/>
    <cellStyle name="Note 32 6" xfId="3936" xr:uid="{00000000-0005-0000-0000-00004F100000}"/>
    <cellStyle name="Note 32 6 2" xfId="3937" xr:uid="{00000000-0005-0000-0000-000050100000}"/>
    <cellStyle name="Note 32 7" xfId="3938" xr:uid="{00000000-0005-0000-0000-000051100000}"/>
    <cellStyle name="Note 32 7 2" xfId="3939" xr:uid="{00000000-0005-0000-0000-000052100000}"/>
    <cellStyle name="Note 32 8" xfId="3940" xr:uid="{00000000-0005-0000-0000-000053100000}"/>
    <cellStyle name="Note 33" xfId="3941" xr:uid="{00000000-0005-0000-0000-000054100000}"/>
    <cellStyle name="Note 33 2" xfId="3942" xr:uid="{00000000-0005-0000-0000-000055100000}"/>
    <cellStyle name="Note 33 2 2" xfId="3943" xr:uid="{00000000-0005-0000-0000-000056100000}"/>
    <cellStyle name="Note 33 3" xfId="3944" xr:uid="{00000000-0005-0000-0000-000057100000}"/>
    <cellStyle name="Note 33 3 2" xfId="3945" xr:uid="{00000000-0005-0000-0000-000058100000}"/>
    <cellStyle name="Note 33 4" xfId="3946" xr:uid="{00000000-0005-0000-0000-000059100000}"/>
    <cellStyle name="Note 33 4 2" xfId="3947" xr:uid="{00000000-0005-0000-0000-00005A100000}"/>
    <cellStyle name="Note 33 5" xfId="3948" xr:uid="{00000000-0005-0000-0000-00005B100000}"/>
    <cellStyle name="Note 33 5 2" xfId="3949" xr:uid="{00000000-0005-0000-0000-00005C100000}"/>
    <cellStyle name="Note 33 6" xfId="3950" xr:uid="{00000000-0005-0000-0000-00005D100000}"/>
    <cellStyle name="Note 33 6 2" xfId="3951" xr:uid="{00000000-0005-0000-0000-00005E100000}"/>
    <cellStyle name="Note 33 7" xfId="3952" xr:uid="{00000000-0005-0000-0000-00005F100000}"/>
    <cellStyle name="Note 33 7 2" xfId="3953" xr:uid="{00000000-0005-0000-0000-000060100000}"/>
    <cellStyle name="Note 33 8" xfId="3954" xr:uid="{00000000-0005-0000-0000-000061100000}"/>
    <cellStyle name="Note 34" xfId="3955" xr:uid="{00000000-0005-0000-0000-000062100000}"/>
    <cellStyle name="Note 34 2" xfId="3956" xr:uid="{00000000-0005-0000-0000-000063100000}"/>
    <cellStyle name="Note 34 2 2" xfId="3957" xr:uid="{00000000-0005-0000-0000-000064100000}"/>
    <cellStyle name="Note 34 3" xfId="3958" xr:uid="{00000000-0005-0000-0000-000065100000}"/>
    <cellStyle name="Note 34 3 2" xfId="3959" xr:uid="{00000000-0005-0000-0000-000066100000}"/>
    <cellStyle name="Note 34 4" xfId="3960" xr:uid="{00000000-0005-0000-0000-000067100000}"/>
    <cellStyle name="Note 34 4 2" xfId="3961" xr:uid="{00000000-0005-0000-0000-000068100000}"/>
    <cellStyle name="Note 34 5" xfId="3962" xr:uid="{00000000-0005-0000-0000-000069100000}"/>
    <cellStyle name="Note 34 5 2" xfId="3963" xr:uid="{00000000-0005-0000-0000-00006A100000}"/>
    <cellStyle name="Note 34 6" xfId="3964" xr:uid="{00000000-0005-0000-0000-00006B100000}"/>
    <cellStyle name="Note 34 6 2" xfId="3965" xr:uid="{00000000-0005-0000-0000-00006C100000}"/>
    <cellStyle name="Note 34 7" xfId="3966" xr:uid="{00000000-0005-0000-0000-00006D100000}"/>
    <cellStyle name="Note 34 7 2" xfId="3967" xr:uid="{00000000-0005-0000-0000-00006E100000}"/>
    <cellStyle name="Note 34 8" xfId="3968" xr:uid="{00000000-0005-0000-0000-00006F100000}"/>
    <cellStyle name="Note 35" xfId="3969" xr:uid="{00000000-0005-0000-0000-000070100000}"/>
    <cellStyle name="Note 35 2" xfId="3970" xr:uid="{00000000-0005-0000-0000-000071100000}"/>
    <cellStyle name="Note 35 2 2" xfId="3971" xr:uid="{00000000-0005-0000-0000-000072100000}"/>
    <cellStyle name="Note 35 3" xfId="3972" xr:uid="{00000000-0005-0000-0000-000073100000}"/>
    <cellStyle name="Note 35 3 2" xfId="3973" xr:uid="{00000000-0005-0000-0000-000074100000}"/>
    <cellStyle name="Note 35 4" xfId="3974" xr:uid="{00000000-0005-0000-0000-000075100000}"/>
    <cellStyle name="Note 35 4 2" xfId="3975" xr:uid="{00000000-0005-0000-0000-000076100000}"/>
    <cellStyle name="Note 35 5" xfId="3976" xr:uid="{00000000-0005-0000-0000-000077100000}"/>
    <cellStyle name="Note 35 5 2" xfId="3977" xr:uid="{00000000-0005-0000-0000-000078100000}"/>
    <cellStyle name="Note 35 6" xfId="3978" xr:uid="{00000000-0005-0000-0000-000079100000}"/>
    <cellStyle name="Note 35 6 2" xfId="3979" xr:uid="{00000000-0005-0000-0000-00007A100000}"/>
    <cellStyle name="Note 35 7" xfId="3980" xr:uid="{00000000-0005-0000-0000-00007B100000}"/>
    <cellStyle name="Note 35 7 2" xfId="3981" xr:uid="{00000000-0005-0000-0000-00007C100000}"/>
    <cellStyle name="Note 35 8" xfId="3982" xr:uid="{00000000-0005-0000-0000-00007D100000}"/>
    <cellStyle name="Note 36" xfId="3983" xr:uid="{00000000-0005-0000-0000-00007E100000}"/>
    <cellStyle name="Note 36 2" xfId="3984" xr:uid="{00000000-0005-0000-0000-00007F100000}"/>
    <cellStyle name="Note 36 2 2" xfId="3985" xr:uid="{00000000-0005-0000-0000-000080100000}"/>
    <cellStyle name="Note 36 3" xfId="3986" xr:uid="{00000000-0005-0000-0000-000081100000}"/>
    <cellStyle name="Note 36 3 2" xfId="3987" xr:uid="{00000000-0005-0000-0000-000082100000}"/>
    <cellStyle name="Note 36 4" xfId="3988" xr:uid="{00000000-0005-0000-0000-000083100000}"/>
    <cellStyle name="Note 36 4 2" xfId="3989" xr:uid="{00000000-0005-0000-0000-000084100000}"/>
    <cellStyle name="Note 36 5" xfId="3990" xr:uid="{00000000-0005-0000-0000-000085100000}"/>
    <cellStyle name="Note 36 5 2" xfId="3991" xr:uid="{00000000-0005-0000-0000-000086100000}"/>
    <cellStyle name="Note 36 6" xfId="3992" xr:uid="{00000000-0005-0000-0000-000087100000}"/>
    <cellStyle name="Note 36 6 2" xfId="3993" xr:uid="{00000000-0005-0000-0000-000088100000}"/>
    <cellStyle name="Note 36 7" xfId="3994" xr:uid="{00000000-0005-0000-0000-000089100000}"/>
    <cellStyle name="Note 36 7 2" xfId="3995" xr:uid="{00000000-0005-0000-0000-00008A100000}"/>
    <cellStyle name="Note 36 8" xfId="3996" xr:uid="{00000000-0005-0000-0000-00008B100000}"/>
    <cellStyle name="Note 37" xfId="3997" xr:uid="{00000000-0005-0000-0000-00008C100000}"/>
    <cellStyle name="Note 37 2" xfId="3998" xr:uid="{00000000-0005-0000-0000-00008D100000}"/>
    <cellStyle name="Note 37 2 2" xfId="3999" xr:uid="{00000000-0005-0000-0000-00008E100000}"/>
    <cellStyle name="Note 37 3" xfId="4000" xr:uid="{00000000-0005-0000-0000-00008F100000}"/>
    <cellStyle name="Note 37 3 2" xfId="4001" xr:uid="{00000000-0005-0000-0000-000090100000}"/>
    <cellStyle name="Note 37 4" xfId="4002" xr:uid="{00000000-0005-0000-0000-000091100000}"/>
    <cellStyle name="Note 37 4 2" xfId="4003" xr:uid="{00000000-0005-0000-0000-000092100000}"/>
    <cellStyle name="Note 37 5" xfId="4004" xr:uid="{00000000-0005-0000-0000-000093100000}"/>
    <cellStyle name="Note 37 5 2" xfId="4005" xr:uid="{00000000-0005-0000-0000-000094100000}"/>
    <cellStyle name="Note 37 6" xfId="4006" xr:uid="{00000000-0005-0000-0000-000095100000}"/>
    <cellStyle name="Note 37 6 2" xfId="4007" xr:uid="{00000000-0005-0000-0000-000096100000}"/>
    <cellStyle name="Note 37 7" xfId="4008" xr:uid="{00000000-0005-0000-0000-000097100000}"/>
    <cellStyle name="Note 37 7 2" xfId="4009" xr:uid="{00000000-0005-0000-0000-000098100000}"/>
    <cellStyle name="Note 37 8" xfId="4010" xr:uid="{00000000-0005-0000-0000-000099100000}"/>
    <cellStyle name="Note 38" xfId="4011" xr:uid="{00000000-0005-0000-0000-00009A100000}"/>
    <cellStyle name="Note 38 2" xfId="4012" xr:uid="{00000000-0005-0000-0000-00009B100000}"/>
    <cellStyle name="Note 38 2 2" xfId="4013" xr:uid="{00000000-0005-0000-0000-00009C100000}"/>
    <cellStyle name="Note 38 3" xfId="4014" xr:uid="{00000000-0005-0000-0000-00009D100000}"/>
    <cellStyle name="Note 38 3 2" xfId="4015" xr:uid="{00000000-0005-0000-0000-00009E100000}"/>
    <cellStyle name="Note 38 4" xfId="4016" xr:uid="{00000000-0005-0000-0000-00009F100000}"/>
    <cellStyle name="Note 38 4 2" xfId="4017" xr:uid="{00000000-0005-0000-0000-0000A0100000}"/>
    <cellStyle name="Note 38 5" xfId="4018" xr:uid="{00000000-0005-0000-0000-0000A1100000}"/>
    <cellStyle name="Note 38 5 2" xfId="4019" xr:uid="{00000000-0005-0000-0000-0000A2100000}"/>
    <cellStyle name="Note 38 6" xfId="4020" xr:uid="{00000000-0005-0000-0000-0000A3100000}"/>
    <cellStyle name="Note 38 6 2" xfId="4021" xr:uid="{00000000-0005-0000-0000-0000A4100000}"/>
    <cellStyle name="Note 38 7" xfId="4022" xr:uid="{00000000-0005-0000-0000-0000A5100000}"/>
    <cellStyle name="Note 38 7 2" xfId="4023" xr:uid="{00000000-0005-0000-0000-0000A6100000}"/>
    <cellStyle name="Note 38 8" xfId="4024" xr:uid="{00000000-0005-0000-0000-0000A7100000}"/>
    <cellStyle name="Note 39" xfId="4025" xr:uid="{00000000-0005-0000-0000-0000A8100000}"/>
    <cellStyle name="Note 39 2" xfId="4026" xr:uid="{00000000-0005-0000-0000-0000A9100000}"/>
    <cellStyle name="Note 4" xfId="4027" xr:uid="{00000000-0005-0000-0000-0000AA100000}"/>
    <cellStyle name="Note 4 2" xfId="4028" xr:uid="{00000000-0005-0000-0000-0000AB100000}"/>
    <cellStyle name="Note 4 2 2" xfId="4029" xr:uid="{00000000-0005-0000-0000-0000AC100000}"/>
    <cellStyle name="Note 4 3" xfId="4030" xr:uid="{00000000-0005-0000-0000-0000AD100000}"/>
    <cellStyle name="Note 40" xfId="4031" xr:uid="{00000000-0005-0000-0000-0000AE100000}"/>
    <cellStyle name="Note 40 2" xfId="4032" xr:uid="{00000000-0005-0000-0000-0000AF100000}"/>
    <cellStyle name="Note 41" xfId="4033" xr:uid="{00000000-0005-0000-0000-0000B0100000}"/>
    <cellStyle name="Note 41 2" xfId="4034" xr:uid="{00000000-0005-0000-0000-0000B1100000}"/>
    <cellStyle name="Note 42" xfId="4035" xr:uid="{00000000-0005-0000-0000-0000B2100000}"/>
    <cellStyle name="Note 42 2" xfId="4036" xr:uid="{00000000-0005-0000-0000-0000B3100000}"/>
    <cellStyle name="Note 43" xfId="4037" xr:uid="{00000000-0005-0000-0000-0000B4100000}"/>
    <cellStyle name="Note 43 2" xfId="4038" xr:uid="{00000000-0005-0000-0000-0000B5100000}"/>
    <cellStyle name="Note 44" xfId="4039" xr:uid="{00000000-0005-0000-0000-0000B6100000}"/>
    <cellStyle name="Note 5" xfId="4040" xr:uid="{00000000-0005-0000-0000-0000B7100000}"/>
    <cellStyle name="Note 5 2" xfId="4041" xr:uid="{00000000-0005-0000-0000-0000B8100000}"/>
    <cellStyle name="Note 5 2 2" xfId="4042" xr:uid="{00000000-0005-0000-0000-0000B9100000}"/>
    <cellStyle name="Note 5 3" xfId="4043" xr:uid="{00000000-0005-0000-0000-0000BA100000}"/>
    <cellStyle name="Note 6" xfId="4044" xr:uid="{00000000-0005-0000-0000-0000BB100000}"/>
    <cellStyle name="Note 6 2" xfId="4045" xr:uid="{00000000-0005-0000-0000-0000BC100000}"/>
    <cellStyle name="Note 6 2 2" xfId="4046" xr:uid="{00000000-0005-0000-0000-0000BD100000}"/>
    <cellStyle name="Note 6 3" xfId="4047" xr:uid="{00000000-0005-0000-0000-0000BE100000}"/>
    <cellStyle name="Note 7" xfId="4048" xr:uid="{00000000-0005-0000-0000-0000BF100000}"/>
    <cellStyle name="Note 7 2" xfId="4049" xr:uid="{00000000-0005-0000-0000-0000C0100000}"/>
    <cellStyle name="Note 8" xfId="4050" xr:uid="{00000000-0005-0000-0000-0000C1100000}"/>
    <cellStyle name="Note 8 2" xfId="4051" xr:uid="{00000000-0005-0000-0000-0000C2100000}"/>
    <cellStyle name="Note 9" xfId="4052" xr:uid="{00000000-0005-0000-0000-0000C3100000}"/>
    <cellStyle name="Note 9 2" xfId="4053" xr:uid="{00000000-0005-0000-0000-0000C4100000}"/>
    <cellStyle name="nozero" xfId="4347" xr:uid="{00000000-0005-0000-0000-0000C5100000}"/>
    <cellStyle name="nozero 2" xfId="4348" xr:uid="{00000000-0005-0000-0000-0000C6100000}"/>
    <cellStyle name="nUMBER" xfId="129" xr:uid="{00000000-0005-0000-0000-0000C7100000}"/>
    <cellStyle name="Output 10" xfId="4054" xr:uid="{00000000-0005-0000-0000-0000C8100000}"/>
    <cellStyle name="Output 11" xfId="4055" xr:uid="{00000000-0005-0000-0000-0000C9100000}"/>
    <cellStyle name="Output 12" xfId="4056" xr:uid="{00000000-0005-0000-0000-0000CA100000}"/>
    <cellStyle name="Output 13" xfId="4057" xr:uid="{00000000-0005-0000-0000-0000CB100000}"/>
    <cellStyle name="Output 14" xfId="4058" xr:uid="{00000000-0005-0000-0000-0000CC100000}"/>
    <cellStyle name="Output 15" xfId="4059" xr:uid="{00000000-0005-0000-0000-0000CD100000}"/>
    <cellStyle name="Output 16" xfId="4060" xr:uid="{00000000-0005-0000-0000-0000CE100000}"/>
    <cellStyle name="Output 17" xfId="4061" xr:uid="{00000000-0005-0000-0000-0000CF100000}"/>
    <cellStyle name="Output 18" xfId="4062" xr:uid="{00000000-0005-0000-0000-0000D0100000}"/>
    <cellStyle name="Output 2" xfId="130" xr:uid="{00000000-0005-0000-0000-0000D1100000}"/>
    <cellStyle name="Output 2 2" xfId="4063" xr:uid="{00000000-0005-0000-0000-0000D2100000}"/>
    <cellStyle name="Output 2 3" xfId="4064" xr:uid="{00000000-0005-0000-0000-0000D3100000}"/>
    <cellStyle name="Output 2 4" xfId="4065" xr:uid="{00000000-0005-0000-0000-0000D4100000}"/>
    <cellStyle name="Output 2 5" xfId="4066" xr:uid="{00000000-0005-0000-0000-0000D5100000}"/>
    <cellStyle name="Output 3" xfId="4067" xr:uid="{00000000-0005-0000-0000-0000D6100000}"/>
    <cellStyle name="Output 4" xfId="4068" xr:uid="{00000000-0005-0000-0000-0000D7100000}"/>
    <cellStyle name="Output 5" xfId="4069" xr:uid="{00000000-0005-0000-0000-0000D8100000}"/>
    <cellStyle name="Output 6" xfId="4070" xr:uid="{00000000-0005-0000-0000-0000D9100000}"/>
    <cellStyle name="Output 7" xfId="4071" xr:uid="{00000000-0005-0000-0000-0000DA100000}"/>
    <cellStyle name="Output 8" xfId="4072" xr:uid="{00000000-0005-0000-0000-0000DB100000}"/>
    <cellStyle name="Output 9" xfId="4073" xr:uid="{00000000-0005-0000-0000-0000DC100000}"/>
    <cellStyle name="Output1_Back" xfId="4599" xr:uid="{00000000-0005-0000-0000-0000DD100000}"/>
    <cellStyle name="p" xfId="4229" xr:uid="{00000000-0005-0000-0000-0000DE100000}"/>
    <cellStyle name="p_2010 Attachment O  GG_082709" xfId="4600" xr:uid="{00000000-0005-0000-0000-0000DF100000}"/>
    <cellStyle name="p_2010 Attachment O Template Supporting Work Papers_ITC Midwest" xfId="4601" xr:uid="{00000000-0005-0000-0000-0000E0100000}"/>
    <cellStyle name="p_2010 Attachment O Template Supporting Work Papers_ITCTransmission" xfId="4602" xr:uid="{00000000-0005-0000-0000-0000E1100000}"/>
    <cellStyle name="p_2010 Attachment O Template Supporting Work Papers_METC" xfId="4603" xr:uid="{00000000-0005-0000-0000-0000E2100000}"/>
    <cellStyle name="p_2Mod11" xfId="4604" xr:uid="{00000000-0005-0000-0000-0000E3100000}"/>
    <cellStyle name="p_aavidmod11.xls Chart 1" xfId="4605" xr:uid="{00000000-0005-0000-0000-0000E4100000}"/>
    <cellStyle name="p_aavidmod11.xls Chart 2" xfId="4606" xr:uid="{00000000-0005-0000-0000-0000E5100000}"/>
    <cellStyle name="p_Attachment O &amp; GG" xfId="4607" xr:uid="{00000000-0005-0000-0000-0000E6100000}"/>
    <cellStyle name="p_charts for capm" xfId="4608" xr:uid="{00000000-0005-0000-0000-0000E7100000}"/>
    <cellStyle name="p_DCF" xfId="4609" xr:uid="{00000000-0005-0000-0000-0000E8100000}"/>
    <cellStyle name="p_DCF_2Mod11" xfId="4610" xr:uid="{00000000-0005-0000-0000-0000E9100000}"/>
    <cellStyle name="p_DCF_aavidmod11.xls Chart 1" xfId="4611" xr:uid="{00000000-0005-0000-0000-0000EA100000}"/>
    <cellStyle name="p_DCF_aavidmod11.xls Chart 2" xfId="4612" xr:uid="{00000000-0005-0000-0000-0000EB100000}"/>
    <cellStyle name="p_DCF_charts for capm" xfId="4613" xr:uid="{00000000-0005-0000-0000-0000EC100000}"/>
    <cellStyle name="p_DCF_DCF5" xfId="4614" xr:uid="{00000000-0005-0000-0000-0000ED100000}"/>
    <cellStyle name="p_DCF_Template2" xfId="4615" xr:uid="{00000000-0005-0000-0000-0000EE100000}"/>
    <cellStyle name="p_DCF_Template2_1" xfId="4616" xr:uid="{00000000-0005-0000-0000-0000EF100000}"/>
    <cellStyle name="p_DCF_VERA" xfId="4617" xr:uid="{00000000-0005-0000-0000-0000F0100000}"/>
    <cellStyle name="p_DCF_VERA_1" xfId="4618" xr:uid="{00000000-0005-0000-0000-0000F1100000}"/>
    <cellStyle name="p_DCF_VERA_1_Template2" xfId="4619" xr:uid="{00000000-0005-0000-0000-0000F2100000}"/>
    <cellStyle name="p_DCF_VERA_aavidmod11.xls Chart 2" xfId="4620" xr:uid="{00000000-0005-0000-0000-0000F3100000}"/>
    <cellStyle name="p_DCF_VERA_Model02" xfId="4621" xr:uid="{00000000-0005-0000-0000-0000F4100000}"/>
    <cellStyle name="p_DCF_VERA_Template2" xfId="4622" xr:uid="{00000000-0005-0000-0000-0000F5100000}"/>
    <cellStyle name="p_DCF_VERA_VERA" xfId="4623" xr:uid="{00000000-0005-0000-0000-0000F6100000}"/>
    <cellStyle name="p_DCF_VERA_VERA_1" xfId="4624" xr:uid="{00000000-0005-0000-0000-0000F7100000}"/>
    <cellStyle name="p_DCF_VERA_VERA_2" xfId="4625" xr:uid="{00000000-0005-0000-0000-0000F8100000}"/>
    <cellStyle name="p_DCF_VERA_VERA_Template2" xfId="4626" xr:uid="{00000000-0005-0000-0000-0000F9100000}"/>
    <cellStyle name="p_DCF5" xfId="4627" xr:uid="{00000000-0005-0000-0000-0000FA100000}"/>
    <cellStyle name="p_ITC Great Plains Formula 1-12-09a" xfId="4628" xr:uid="{00000000-0005-0000-0000-0000FB100000}"/>
    <cellStyle name="p_ITCM 2010 Template" xfId="4629" xr:uid="{00000000-0005-0000-0000-0000FC100000}"/>
    <cellStyle name="p_ITCMW 2009 Rate" xfId="4630" xr:uid="{00000000-0005-0000-0000-0000FD100000}"/>
    <cellStyle name="p_ITCMW 2010 Rate_083109" xfId="4631" xr:uid="{00000000-0005-0000-0000-0000FE100000}"/>
    <cellStyle name="p_ITCOP 2010 Rate_083109" xfId="4632" xr:uid="{00000000-0005-0000-0000-0000FF100000}"/>
    <cellStyle name="p_ITCT 2009 Rate" xfId="4633" xr:uid="{00000000-0005-0000-0000-000000110000}"/>
    <cellStyle name="p_ITCT New 2010 Attachment O &amp; GG_111209NL" xfId="4634" xr:uid="{00000000-0005-0000-0000-000001110000}"/>
    <cellStyle name="p_METC 2010 Rate_083109" xfId="4635" xr:uid="{00000000-0005-0000-0000-000002110000}"/>
    <cellStyle name="p_Template2" xfId="4636" xr:uid="{00000000-0005-0000-0000-000003110000}"/>
    <cellStyle name="p_Template2_1" xfId="4637" xr:uid="{00000000-0005-0000-0000-000004110000}"/>
    <cellStyle name="p_VERA" xfId="4638" xr:uid="{00000000-0005-0000-0000-000005110000}"/>
    <cellStyle name="p_VERA_1" xfId="4639" xr:uid="{00000000-0005-0000-0000-000006110000}"/>
    <cellStyle name="p_VERA_1_Template2" xfId="4640" xr:uid="{00000000-0005-0000-0000-000007110000}"/>
    <cellStyle name="p_VERA_aavidmod11.xls Chart 2" xfId="4641" xr:uid="{00000000-0005-0000-0000-000008110000}"/>
    <cellStyle name="p_VERA_Model02" xfId="4642" xr:uid="{00000000-0005-0000-0000-000009110000}"/>
    <cellStyle name="p_VERA_Template2" xfId="4643" xr:uid="{00000000-0005-0000-0000-00000A110000}"/>
    <cellStyle name="p_VERA_VERA" xfId="4644" xr:uid="{00000000-0005-0000-0000-00000B110000}"/>
    <cellStyle name="p_VERA_VERA_1" xfId="4645" xr:uid="{00000000-0005-0000-0000-00000C110000}"/>
    <cellStyle name="p_VERA_VERA_2" xfId="4646" xr:uid="{00000000-0005-0000-0000-00000D110000}"/>
    <cellStyle name="p_VERA_VERA_Template2" xfId="4647" xr:uid="{00000000-0005-0000-0000-00000E110000}"/>
    <cellStyle name="p1" xfId="4230" xr:uid="{00000000-0005-0000-0000-00000F110000}"/>
    <cellStyle name="p2" xfId="4231" xr:uid="{00000000-0005-0000-0000-000010110000}"/>
    <cellStyle name="p3" xfId="4232" xr:uid="{00000000-0005-0000-0000-000011110000}"/>
    <cellStyle name="Percent" xfId="4666" builtinId="5"/>
    <cellStyle name="Percent %" xfId="4233" xr:uid="{00000000-0005-0000-0000-000013110000}"/>
    <cellStyle name="Percent % Long Underline" xfId="4234" xr:uid="{00000000-0005-0000-0000-000014110000}"/>
    <cellStyle name="Percent (0)" xfId="4235" xr:uid="{00000000-0005-0000-0000-000015110000}"/>
    <cellStyle name="Percent [0]" xfId="4349" xr:uid="{00000000-0005-0000-0000-000016110000}"/>
    <cellStyle name="Percent [1]" xfId="4648" xr:uid="{00000000-0005-0000-0000-000017110000}"/>
    <cellStyle name="Percent [2]" xfId="131" xr:uid="{00000000-0005-0000-0000-000018110000}"/>
    <cellStyle name="Percent [2] 2" xfId="4350" xr:uid="{00000000-0005-0000-0000-000019110000}"/>
    <cellStyle name="Percent [2] 3" xfId="4351" xr:uid="{00000000-0005-0000-0000-00001A110000}"/>
    <cellStyle name="Percent [3]" xfId="4649" xr:uid="{00000000-0005-0000-0000-00001B110000}"/>
    <cellStyle name="Percent 0.0%" xfId="4236" xr:uid="{00000000-0005-0000-0000-00001C110000}"/>
    <cellStyle name="Percent 0.0% Long Underline" xfId="4237" xr:uid="{00000000-0005-0000-0000-00001D110000}"/>
    <cellStyle name="Percent 0.00%" xfId="4238" xr:uid="{00000000-0005-0000-0000-00001E110000}"/>
    <cellStyle name="Percent 0.00% Long Underline" xfId="4239" xr:uid="{00000000-0005-0000-0000-00001F110000}"/>
    <cellStyle name="Percent 0.000%" xfId="4240" xr:uid="{00000000-0005-0000-0000-000020110000}"/>
    <cellStyle name="Percent 0.000% Long Underline" xfId="4241" xr:uid="{00000000-0005-0000-0000-000021110000}"/>
    <cellStyle name="Percent 0.0000%" xfId="4242" xr:uid="{00000000-0005-0000-0000-000022110000}"/>
    <cellStyle name="Percent 0.0000% Long Underline" xfId="4243" xr:uid="{00000000-0005-0000-0000-000023110000}"/>
    <cellStyle name="Percent 10" xfId="4352" xr:uid="{00000000-0005-0000-0000-000024110000}"/>
    <cellStyle name="Percent 11" xfId="4353" xr:uid="{00000000-0005-0000-0000-000025110000}"/>
    <cellStyle name="Percent 12" xfId="4354" xr:uid="{00000000-0005-0000-0000-000026110000}"/>
    <cellStyle name="Percent 13" xfId="4355" xr:uid="{00000000-0005-0000-0000-000027110000}"/>
    <cellStyle name="Percent 14" xfId="4356" xr:uid="{00000000-0005-0000-0000-000028110000}"/>
    <cellStyle name="Percent 15" xfId="4357" xr:uid="{00000000-0005-0000-0000-000029110000}"/>
    <cellStyle name="Percent 16" xfId="4358" xr:uid="{00000000-0005-0000-0000-00002A110000}"/>
    <cellStyle name="Percent 17" xfId="4359" xr:uid="{00000000-0005-0000-0000-00002B110000}"/>
    <cellStyle name="Percent 18" xfId="4360" xr:uid="{00000000-0005-0000-0000-00002C110000}"/>
    <cellStyle name="Percent 19" xfId="4361" xr:uid="{00000000-0005-0000-0000-00002D110000}"/>
    <cellStyle name="Percent 2" xfId="3" xr:uid="{00000000-0005-0000-0000-00002E110000}"/>
    <cellStyle name="Percent 2 2" xfId="4074" xr:uid="{00000000-0005-0000-0000-00002F110000}"/>
    <cellStyle name="Percent 2 2 2" xfId="4075" xr:uid="{00000000-0005-0000-0000-000030110000}"/>
    <cellStyle name="Percent 2 2 3" xfId="4076" xr:uid="{00000000-0005-0000-0000-000031110000}"/>
    <cellStyle name="Percent 2 3" xfId="4077" xr:uid="{00000000-0005-0000-0000-000032110000}"/>
    <cellStyle name="Percent 2 3 2" xfId="4078" xr:uid="{00000000-0005-0000-0000-000033110000}"/>
    <cellStyle name="Percent 2 4" xfId="4079" xr:uid="{00000000-0005-0000-0000-000034110000}"/>
    <cellStyle name="Percent 20" xfId="4362" xr:uid="{00000000-0005-0000-0000-000035110000}"/>
    <cellStyle name="Percent 21" xfId="4363" xr:uid="{00000000-0005-0000-0000-000036110000}"/>
    <cellStyle name="Percent 22" xfId="4364" xr:uid="{00000000-0005-0000-0000-000037110000}"/>
    <cellStyle name="Percent 23" xfId="4365" xr:uid="{00000000-0005-0000-0000-000038110000}"/>
    <cellStyle name="Percent 24" xfId="4366" xr:uid="{00000000-0005-0000-0000-000039110000}"/>
    <cellStyle name="Percent 25" xfId="4367" xr:uid="{00000000-0005-0000-0000-00003A110000}"/>
    <cellStyle name="Percent 26" xfId="4368" xr:uid="{00000000-0005-0000-0000-00003B110000}"/>
    <cellStyle name="Percent 27" xfId="4369" xr:uid="{00000000-0005-0000-0000-00003C110000}"/>
    <cellStyle name="Percent 28" xfId="4370" xr:uid="{00000000-0005-0000-0000-00003D110000}"/>
    <cellStyle name="Percent 29" xfId="4371" xr:uid="{00000000-0005-0000-0000-00003E110000}"/>
    <cellStyle name="Percent 3" xfId="4080" xr:uid="{00000000-0005-0000-0000-00003F110000}"/>
    <cellStyle name="Percent 3 2" xfId="4081" xr:uid="{00000000-0005-0000-0000-000040110000}"/>
    <cellStyle name="Percent 3 3" xfId="4082" xr:uid="{00000000-0005-0000-0000-000041110000}"/>
    <cellStyle name="Percent 30" xfId="4372" xr:uid="{00000000-0005-0000-0000-000042110000}"/>
    <cellStyle name="Percent 31" xfId="4373" xr:uid="{00000000-0005-0000-0000-000043110000}"/>
    <cellStyle name="Percent 32" xfId="4374" xr:uid="{00000000-0005-0000-0000-000044110000}"/>
    <cellStyle name="Percent 33" xfId="4375" xr:uid="{00000000-0005-0000-0000-000045110000}"/>
    <cellStyle name="Percent 34" xfId="4376" xr:uid="{00000000-0005-0000-0000-000046110000}"/>
    <cellStyle name="Percent 35" xfId="4377" xr:uid="{00000000-0005-0000-0000-000047110000}"/>
    <cellStyle name="Percent 36" xfId="4378" xr:uid="{00000000-0005-0000-0000-000048110000}"/>
    <cellStyle name="Percent 37" xfId="4379" xr:uid="{00000000-0005-0000-0000-000049110000}"/>
    <cellStyle name="Percent 38" xfId="4380" xr:uid="{00000000-0005-0000-0000-00004A110000}"/>
    <cellStyle name="Percent 39" xfId="4381" xr:uid="{00000000-0005-0000-0000-00004B110000}"/>
    <cellStyle name="Percent 4" xfId="4244" xr:uid="{00000000-0005-0000-0000-00004C110000}"/>
    <cellStyle name="Percent 4 2" xfId="4382" xr:uid="{00000000-0005-0000-0000-00004D110000}"/>
    <cellStyle name="Percent 40" xfId="4383" xr:uid="{00000000-0005-0000-0000-00004E110000}"/>
    <cellStyle name="Percent 41" xfId="4384" xr:uid="{00000000-0005-0000-0000-00004F110000}"/>
    <cellStyle name="Percent 42" xfId="4385" xr:uid="{00000000-0005-0000-0000-000050110000}"/>
    <cellStyle name="Percent 43" xfId="4386" xr:uid="{00000000-0005-0000-0000-000051110000}"/>
    <cellStyle name="Percent 44" xfId="4387" xr:uid="{00000000-0005-0000-0000-000052110000}"/>
    <cellStyle name="Percent 45" xfId="4388" xr:uid="{00000000-0005-0000-0000-000053110000}"/>
    <cellStyle name="Percent 46" xfId="4389" xr:uid="{00000000-0005-0000-0000-000054110000}"/>
    <cellStyle name="Percent 47" xfId="4390" xr:uid="{00000000-0005-0000-0000-000055110000}"/>
    <cellStyle name="Percent 48" xfId="4391" xr:uid="{00000000-0005-0000-0000-000056110000}"/>
    <cellStyle name="Percent 49" xfId="4392" xr:uid="{00000000-0005-0000-0000-000057110000}"/>
    <cellStyle name="Percent 5" xfId="4245" xr:uid="{00000000-0005-0000-0000-000058110000}"/>
    <cellStyle name="Percent 50" xfId="4393" xr:uid="{00000000-0005-0000-0000-000059110000}"/>
    <cellStyle name="Percent 50 2" xfId="4394" xr:uid="{00000000-0005-0000-0000-00005A110000}"/>
    <cellStyle name="Percent 51" xfId="4395" xr:uid="{00000000-0005-0000-0000-00005B110000}"/>
    <cellStyle name="Percent 51 2" xfId="4396" xr:uid="{00000000-0005-0000-0000-00005C110000}"/>
    <cellStyle name="Percent 52" xfId="4397" xr:uid="{00000000-0005-0000-0000-00005D110000}"/>
    <cellStyle name="Percent 53" xfId="4398" xr:uid="{00000000-0005-0000-0000-00005E110000}"/>
    <cellStyle name="Percent 54" xfId="4399" xr:uid="{00000000-0005-0000-0000-00005F110000}"/>
    <cellStyle name="Percent 55" xfId="4400" xr:uid="{00000000-0005-0000-0000-000060110000}"/>
    <cellStyle name="Percent 56" xfId="4401" xr:uid="{00000000-0005-0000-0000-000061110000}"/>
    <cellStyle name="Percent 57" xfId="4402" xr:uid="{00000000-0005-0000-0000-000062110000}"/>
    <cellStyle name="Percent 58" xfId="4403" xr:uid="{00000000-0005-0000-0000-000063110000}"/>
    <cellStyle name="Percent 59" xfId="4404" xr:uid="{00000000-0005-0000-0000-000064110000}"/>
    <cellStyle name="Percent 6" xfId="4246" xr:uid="{00000000-0005-0000-0000-000065110000}"/>
    <cellStyle name="Percent 6 2" xfId="4650" xr:uid="{00000000-0005-0000-0000-000066110000}"/>
    <cellStyle name="Percent 6 3" xfId="4651" xr:uid="{00000000-0005-0000-0000-000067110000}"/>
    <cellStyle name="Percent 6 4" xfId="4652" xr:uid="{00000000-0005-0000-0000-000068110000}"/>
    <cellStyle name="Percent 6 5" xfId="4653" xr:uid="{00000000-0005-0000-0000-000069110000}"/>
    <cellStyle name="Percent 60" xfId="4405" xr:uid="{00000000-0005-0000-0000-00006A110000}"/>
    <cellStyle name="Percent 60 2" xfId="4475" xr:uid="{00000000-0005-0000-0000-00006B110000}"/>
    <cellStyle name="Percent 61" xfId="4406" xr:uid="{00000000-0005-0000-0000-00006C110000}"/>
    <cellStyle name="Percent 62" xfId="4407" xr:uid="{00000000-0005-0000-0000-00006D110000}"/>
    <cellStyle name="Percent 7" xfId="4247" xr:uid="{00000000-0005-0000-0000-00006E110000}"/>
    <cellStyle name="Percent 7 2" xfId="4654" xr:uid="{00000000-0005-0000-0000-00006F110000}"/>
    <cellStyle name="Percent 70" xfId="4408" xr:uid="{00000000-0005-0000-0000-000070110000}"/>
    <cellStyle name="Percent 8" xfId="4409" xr:uid="{00000000-0005-0000-0000-000071110000}"/>
    <cellStyle name="Percent 9" xfId="4410" xr:uid="{00000000-0005-0000-0000-000072110000}"/>
    <cellStyle name="Percent 9 2" xfId="4688" xr:uid="{00000000-0005-0000-0000-000073110000}"/>
    <cellStyle name="Percent 9 2 2" xfId="4677" xr:uid="{00000000-0005-0000-0000-000074110000}"/>
    <cellStyle name="Percent 9 3" xfId="4689" xr:uid="{00000000-0005-0000-0000-000075110000}"/>
    <cellStyle name="Percent Input" xfId="4655" xr:uid="{00000000-0005-0000-0000-000076110000}"/>
    <cellStyle name="Percent0" xfId="4248" xr:uid="{00000000-0005-0000-0000-000077110000}"/>
    <cellStyle name="Percent1" xfId="4249" xr:uid="{00000000-0005-0000-0000-000078110000}"/>
    <cellStyle name="Percent2" xfId="4250" xr:uid="{00000000-0005-0000-0000-000079110000}"/>
    <cellStyle name="PSChar" xfId="132" xr:uid="{00000000-0005-0000-0000-00007A110000}"/>
    <cellStyle name="PSDate" xfId="133" xr:uid="{00000000-0005-0000-0000-00007B110000}"/>
    <cellStyle name="PSDec" xfId="134" xr:uid="{00000000-0005-0000-0000-00007C110000}"/>
    <cellStyle name="PSdesc" xfId="4251" xr:uid="{00000000-0005-0000-0000-00007D110000}"/>
    <cellStyle name="PSHeading" xfId="135" xr:uid="{00000000-0005-0000-0000-00007E110000}"/>
    <cellStyle name="PSInt" xfId="136" xr:uid="{00000000-0005-0000-0000-00007F110000}"/>
    <cellStyle name="PSSpacer" xfId="137" xr:uid="{00000000-0005-0000-0000-000080110000}"/>
    <cellStyle name="PStest" xfId="4252" xr:uid="{00000000-0005-0000-0000-000081110000}"/>
    <cellStyle name="R00A" xfId="138" xr:uid="{00000000-0005-0000-0000-000082110000}"/>
    <cellStyle name="R00B" xfId="139" xr:uid="{00000000-0005-0000-0000-000083110000}"/>
    <cellStyle name="R00L" xfId="140" xr:uid="{00000000-0005-0000-0000-000084110000}"/>
    <cellStyle name="R01A" xfId="141" xr:uid="{00000000-0005-0000-0000-000085110000}"/>
    <cellStyle name="R01B" xfId="142" xr:uid="{00000000-0005-0000-0000-000086110000}"/>
    <cellStyle name="R01H" xfId="143" xr:uid="{00000000-0005-0000-0000-000087110000}"/>
    <cellStyle name="R01L" xfId="144" xr:uid="{00000000-0005-0000-0000-000088110000}"/>
    <cellStyle name="R02A" xfId="145" xr:uid="{00000000-0005-0000-0000-000089110000}"/>
    <cellStyle name="R02B" xfId="146" xr:uid="{00000000-0005-0000-0000-00008A110000}"/>
    <cellStyle name="R02H" xfId="147" xr:uid="{00000000-0005-0000-0000-00008B110000}"/>
    <cellStyle name="R02L" xfId="148" xr:uid="{00000000-0005-0000-0000-00008C110000}"/>
    <cellStyle name="R03A" xfId="149" xr:uid="{00000000-0005-0000-0000-00008D110000}"/>
    <cellStyle name="R03B" xfId="150" xr:uid="{00000000-0005-0000-0000-00008E110000}"/>
    <cellStyle name="R03H" xfId="151" xr:uid="{00000000-0005-0000-0000-00008F110000}"/>
    <cellStyle name="R03L" xfId="152" xr:uid="{00000000-0005-0000-0000-000090110000}"/>
    <cellStyle name="R04A" xfId="153" xr:uid="{00000000-0005-0000-0000-000091110000}"/>
    <cellStyle name="R04B" xfId="154" xr:uid="{00000000-0005-0000-0000-000092110000}"/>
    <cellStyle name="R04H" xfId="155" xr:uid="{00000000-0005-0000-0000-000093110000}"/>
    <cellStyle name="R04L" xfId="156" xr:uid="{00000000-0005-0000-0000-000094110000}"/>
    <cellStyle name="R05A" xfId="157" xr:uid="{00000000-0005-0000-0000-000095110000}"/>
    <cellStyle name="R05B" xfId="158" xr:uid="{00000000-0005-0000-0000-000096110000}"/>
    <cellStyle name="R05H" xfId="159" xr:uid="{00000000-0005-0000-0000-000097110000}"/>
    <cellStyle name="R05L" xfId="160" xr:uid="{00000000-0005-0000-0000-000098110000}"/>
    <cellStyle name="R05L 2" xfId="4253" xr:uid="{00000000-0005-0000-0000-000099110000}"/>
    <cellStyle name="R06A" xfId="161" xr:uid="{00000000-0005-0000-0000-00009A110000}"/>
    <cellStyle name="R06B" xfId="162" xr:uid="{00000000-0005-0000-0000-00009B110000}"/>
    <cellStyle name="R06H" xfId="163" xr:uid="{00000000-0005-0000-0000-00009C110000}"/>
    <cellStyle name="R06L" xfId="164" xr:uid="{00000000-0005-0000-0000-00009D110000}"/>
    <cellStyle name="R07A" xfId="165" xr:uid="{00000000-0005-0000-0000-00009E110000}"/>
    <cellStyle name="R07B" xfId="166" xr:uid="{00000000-0005-0000-0000-00009F110000}"/>
    <cellStyle name="R07H" xfId="167" xr:uid="{00000000-0005-0000-0000-0000A0110000}"/>
    <cellStyle name="R07L" xfId="168" xr:uid="{00000000-0005-0000-0000-0000A1110000}"/>
    <cellStyle name="RangeBelow" xfId="4411" xr:uid="{00000000-0005-0000-0000-0000A2110000}"/>
    <cellStyle name="rborder" xfId="4254" xr:uid="{00000000-0005-0000-0000-0000A3110000}"/>
    <cellStyle name="red" xfId="4255" xr:uid="{00000000-0005-0000-0000-0000A4110000}"/>
    <cellStyle name="Reports" xfId="4412" xr:uid="{00000000-0005-0000-0000-0000A5110000}"/>
    <cellStyle name="Reports-0" xfId="4413" xr:uid="{00000000-0005-0000-0000-0000A6110000}"/>
    <cellStyle name="Reports-2" xfId="4414" xr:uid="{00000000-0005-0000-0000-0000A7110000}"/>
    <cellStyle name="Resource Detail" xfId="169" xr:uid="{00000000-0005-0000-0000-0000A8110000}"/>
    <cellStyle name="s_HardInc " xfId="4256" xr:uid="{00000000-0005-0000-0000-0000A9110000}"/>
    <cellStyle name="s_HardInc _ITC Great Plains Formula 1-12-09a" xfId="4656" xr:uid="{00000000-0005-0000-0000-0000AA110000}"/>
    <cellStyle name="SAPBEXchaText" xfId="4415" xr:uid="{00000000-0005-0000-0000-0000AB110000}"/>
    <cellStyle name="SAPBEXstdData" xfId="4416" xr:uid="{00000000-0005-0000-0000-0000AC110000}"/>
    <cellStyle name="SAPBEXstdItem" xfId="4417" xr:uid="{00000000-0005-0000-0000-0000AD110000}"/>
    <cellStyle name="SAPBEXstdItemX" xfId="4418" xr:uid="{00000000-0005-0000-0000-0000AE110000}"/>
    <cellStyle name="scenario" xfId="4657" xr:uid="{00000000-0005-0000-0000-0000AF110000}"/>
    <cellStyle name="SECTION" xfId="4257" xr:uid="{00000000-0005-0000-0000-0000B0110000}"/>
    <cellStyle name="Shade" xfId="170" xr:uid="{00000000-0005-0000-0000-0000B1110000}"/>
    <cellStyle name="Shading - Heavy" xfId="4419" xr:uid="{00000000-0005-0000-0000-0000B2110000}"/>
    <cellStyle name="Shading - Light" xfId="4420" xr:uid="{00000000-0005-0000-0000-0000B3110000}"/>
    <cellStyle name="Shading - Medium" xfId="4421" xr:uid="{00000000-0005-0000-0000-0000B4110000}"/>
    <cellStyle name="Sheetmult" xfId="4658" xr:uid="{00000000-0005-0000-0000-0000B5110000}"/>
    <cellStyle name="Shtmultx" xfId="4659" xr:uid="{00000000-0005-0000-0000-0000B6110000}"/>
    <cellStyle name="single acct" xfId="171" xr:uid="{00000000-0005-0000-0000-0000B7110000}"/>
    <cellStyle name="Single Border" xfId="172" xr:uid="{00000000-0005-0000-0000-0000B8110000}"/>
    <cellStyle name="Small Page Heading" xfId="173" xr:uid="{00000000-0005-0000-0000-0000B9110000}"/>
    <cellStyle name="Spaces-2" xfId="4422" xr:uid="{00000000-0005-0000-0000-0000BA110000}"/>
    <cellStyle name="Spaces-4" xfId="4423" xr:uid="{00000000-0005-0000-0000-0000BB110000}"/>
    <cellStyle name="Spaces-6" xfId="4424" xr:uid="{00000000-0005-0000-0000-0000BC110000}"/>
    <cellStyle name="ssn" xfId="174" xr:uid="{00000000-0005-0000-0000-0000BD110000}"/>
    <cellStyle name="Style 1" xfId="175" xr:uid="{00000000-0005-0000-0000-0000BE110000}"/>
    <cellStyle name="Style 1 2" xfId="4083" xr:uid="{00000000-0005-0000-0000-0000BF110000}"/>
    <cellStyle name="Style 1 2 2" xfId="4084" xr:uid="{00000000-0005-0000-0000-0000C0110000}"/>
    <cellStyle name="Style 1 3" xfId="4085" xr:uid="{00000000-0005-0000-0000-0000C1110000}"/>
    <cellStyle name="Style 1 3 2" xfId="4086" xr:uid="{00000000-0005-0000-0000-0000C2110000}"/>
    <cellStyle name="Style 1 4" xfId="4087" xr:uid="{00000000-0005-0000-0000-0000C3110000}"/>
    <cellStyle name="Style 1 4 2" xfId="4088" xr:uid="{00000000-0005-0000-0000-0000C4110000}"/>
    <cellStyle name="Style 1 5" xfId="4089" xr:uid="{00000000-0005-0000-0000-0000C5110000}"/>
    <cellStyle name="Style 1 5 2" xfId="4090" xr:uid="{00000000-0005-0000-0000-0000C6110000}"/>
    <cellStyle name="Style 1 6" xfId="4091" xr:uid="{00000000-0005-0000-0000-0000C7110000}"/>
    <cellStyle name="Style 1 6 2" xfId="4092" xr:uid="{00000000-0005-0000-0000-0000C8110000}"/>
    <cellStyle name="Style 1 7" xfId="4093" xr:uid="{00000000-0005-0000-0000-0000C9110000}"/>
    <cellStyle name="Style 1 7 2" xfId="4094" xr:uid="{00000000-0005-0000-0000-0000CA110000}"/>
    <cellStyle name="Style 1 8" xfId="4095" xr:uid="{00000000-0005-0000-0000-0000CB110000}"/>
    <cellStyle name="Style 2" xfId="176" xr:uid="{00000000-0005-0000-0000-0000CC110000}"/>
    <cellStyle name="Style 21" xfId="4425" xr:uid="{00000000-0005-0000-0000-0000CD110000}"/>
    <cellStyle name="Style 21 2" xfId="4426" xr:uid="{00000000-0005-0000-0000-0000CE110000}"/>
    <cellStyle name="Style 22" xfId="4427" xr:uid="{00000000-0005-0000-0000-0000CF110000}"/>
    <cellStyle name="Style 22 2" xfId="4428" xr:uid="{00000000-0005-0000-0000-0000D0110000}"/>
    <cellStyle name="Style 23" xfId="4429" xr:uid="{00000000-0005-0000-0000-0000D1110000}"/>
    <cellStyle name="Style 23 2" xfId="4430" xr:uid="{00000000-0005-0000-0000-0000D2110000}"/>
    <cellStyle name="Style 24" xfId="4431" xr:uid="{00000000-0005-0000-0000-0000D3110000}"/>
    <cellStyle name="Style 24 2" xfId="4432" xr:uid="{00000000-0005-0000-0000-0000D4110000}"/>
    <cellStyle name="Style 25" xfId="4433" xr:uid="{00000000-0005-0000-0000-0000D5110000}"/>
    <cellStyle name="Style 25 2" xfId="4434" xr:uid="{00000000-0005-0000-0000-0000D6110000}"/>
    <cellStyle name="Style 26" xfId="4435" xr:uid="{00000000-0005-0000-0000-0000D7110000}"/>
    <cellStyle name="Style 26 2" xfId="4436" xr:uid="{00000000-0005-0000-0000-0000D8110000}"/>
    <cellStyle name="Style 27" xfId="177" xr:uid="{00000000-0005-0000-0000-0000D9110000}"/>
    <cellStyle name="Style 27 2" xfId="4437" xr:uid="{00000000-0005-0000-0000-0000DA110000}"/>
    <cellStyle name="Style 28" xfId="178" xr:uid="{00000000-0005-0000-0000-0000DB110000}"/>
    <cellStyle name="Style 28 2" xfId="4438" xr:uid="{00000000-0005-0000-0000-0000DC110000}"/>
    <cellStyle name="Style 29" xfId="4439" xr:uid="{00000000-0005-0000-0000-0000DD110000}"/>
    <cellStyle name="Style 29 2" xfId="4440" xr:uid="{00000000-0005-0000-0000-0000DE110000}"/>
    <cellStyle name="Style 30" xfId="4441" xr:uid="{00000000-0005-0000-0000-0000DF110000}"/>
    <cellStyle name="Style 30 2" xfId="4442" xr:uid="{00000000-0005-0000-0000-0000E0110000}"/>
    <cellStyle name="Style 31" xfId="4443" xr:uid="{00000000-0005-0000-0000-0000E1110000}"/>
    <cellStyle name="Style 31 2" xfId="4444" xr:uid="{00000000-0005-0000-0000-0000E2110000}"/>
    <cellStyle name="Style 32" xfId="4445" xr:uid="{00000000-0005-0000-0000-0000E3110000}"/>
    <cellStyle name="Style 32 2" xfId="4446" xr:uid="{00000000-0005-0000-0000-0000E4110000}"/>
    <cellStyle name="Style 33" xfId="4447" xr:uid="{00000000-0005-0000-0000-0000E5110000}"/>
    <cellStyle name="Style 33 2" xfId="4448" xr:uid="{00000000-0005-0000-0000-0000E6110000}"/>
    <cellStyle name="Style 34" xfId="4449" xr:uid="{00000000-0005-0000-0000-0000E7110000}"/>
    <cellStyle name="Style 34 2" xfId="4450" xr:uid="{00000000-0005-0000-0000-0000E8110000}"/>
    <cellStyle name="Style 35" xfId="4451" xr:uid="{00000000-0005-0000-0000-0000E9110000}"/>
    <cellStyle name="Style 35 2" xfId="4452" xr:uid="{00000000-0005-0000-0000-0000EA110000}"/>
    <cellStyle name="STYLE1" xfId="4660" xr:uid="{00000000-0005-0000-0000-0000EB110000}"/>
    <cellStyle name="STYLE2" xfId="4661" xr:uid="{00000000-0005-0000-0000-0000EC110000}"/>
    <cellStyle name="SubRoutine" xfId="4453" xr:uid="{00000000-0005-0000-0000-0000ED110000}"/>
    <cellStyle name="System Defined" xfId="4258" xr:uid="{00000000-0005-0000-0000-0000EE110000}"/>
    <cellStyle name="Table Sub Heading" xfId="179" xr:uid="{00000000-0005-0000-0000-0000EF110000}"/>
    <cellStyle name="Table Title" xfId="180" xr:uid="{00000000-0005-0000-0000-0000F0110000}"/>
    <cellStyle name="Table Units" xfId="181" xr:uid="{00000000-0005-0000-0000-0000F1110000}"/>
    <cellStyle name="TableHeading" xfId="4259" xr:uid="{00000000-0005-0000-0000-0000F2110000}"/>
    <cellStyle name="Tabs" xfId="4454" xr:uid="{00000000-0005-0000-0000-0000F3110000}"/>
    <cellStyle name="tb" xfId="4260" xr:uid="{00000000-0005-0000-0000-0000F4110000}"/>
    <cellStyle name="Text Wrap" xfId="4455" xr:uid="{00000000-0005-0000-0000-0000F5110000}"/>
    <cellStyle name="Text Wrap Across Cells" xfId="4456" xr:uid="{00000000-0005-0000-0000-0000F6110000}"/>
    <cellStyle name="þ(Î'_x000c_ïþ÷_x000c_âþÖ_x0006__x0002_Þ”_x0013__x0007__x0001__x0001_" xfId="4457" xr:uid="{00000000-0005-0000-0000-0000F7110000}"/>
    <cellStyle name="þ(Î'_x000c_ïþ÷_x000c_âþÖ_x0006__x0002_Þ”_x0013__x0007__x0001__x0001_ 2" xfId="4458" xr:uid="{00000000-0005-0000-0000-0000F8110000}"/>
    <cellStyle name="Theirs" xfId="182" xr:uid="{00000000-0005-0000-0000-0000F9110000}"/>
    <cellStyle name="Thousands" xfId="4459" xr:uid="{00000000-0005-0000-0000-0000FA110000}"/>
    <cellStyle name="Thousands 2" xfId="4460" xr:uid="{00000000-0005-0000-0000-0000FB110000}"/>
    <cellStyle name="Thousands1" xfId="4461" xr:uid="{00000000-0005-0000-0000-0000FC110000}"/>
    <cellStyle name="Thousands1 2" xfId="4462" xr:uid="{00000000-0005-0000-0000-0000FD110000}"/>
    <cellStyle name="Tickmark" xfId="4261" xr:uid="{00000000-0005-0000-0000-0000FE110000}"/>
    <cellStyle name="Times New Roman" xfId="183" xr:uid="{00000000-0005-0000-0000-0000FF110000}"/>
    <cellStyle name="Title 10" xfId="4096" xr:uid="{00000000-0005-0000-0000-000000120000}"/>
    <cellStyle name="Title 11" xfId="4097" xr:uid="{00000000-0005-0000-0000-000001120000}"/>
    <cellStyle name="Title 12" xfId="4098" xr:uid="{00000000-0005-0000-0000-000002120000}"/>
    <cellStyle name="Title 13" xfId="4099" xr:uid="{00000000-0005-0000-0000-000003120000}"/>
    <cellStyle name="Title 14" xfId="4100" xr:uid="{00000000-0005-0000-0000-000004120000}"/>
    <cellStyle name="Title 15" xfId="4101" xr:uid="{00000000-0005-0000-0000-000005120000}"/>
    <cellStyle name="Title 16" xfId="4102" xr:uid="{00000000-0005-0000-0000-000006120000}"/>
    <cellStyle name="Title 17" xfId="4103" xr:uid="{00000000-0005-0000-0000-000007120000}"/>
    <cellStyle name="Title 2" xfId="184" xr:uid="{00000000-0005-0000-0000-000008120000}"/>
    <cellStyle name="Title 2 2" xfId="4104" xr:uid="{00000000-0005-0000-0000-000009120000}"/>
    <cellStyle name="Title 2 3" xfId="4105" xr:uid="{00000000-0005-0000-0000-00000A120000}"/>
    <cellStyle name="Title 2 4" xfId="4106" xr:uid="{00000000-0005-0000-0000-00000B120000}"/>
    <cellStyle name="Title 2 5" xfId="4107" xr:uid="{00000000-0005-0000-0000-00000C120000}"/>
    <cellStyle name="Title 3" xfId="4108" xr:uid="{00000000-0005-0000-0000-00000D120000}"/>
    <cellStyle name="Title 4" xfId="4109" xr:uid="{00000000-0005-0000-0000-00000E120000}"/>
    <cellStyle name="Title 5" xfId="4110" xr:uid="{00000000-0005-0000-0000-00000F120000}"/>
    <cellStyle name="Title 6" xfId="4111" xr:uid="{00000000-0005-0000-0000-000010120000}"/>
    <cellStyle name="Title 7" xfId="4112" xr:uid="{00000000-0005-0000-0000-000011120000}"/>
    <cellStyle name="Title 8" xfId="4113" xr:uid="{00000000-0005-0000-0000-000012120000}"/>
    <cellStyle name="Title 9" xfId="4114" xr:uid="{00000000-0005-0000-0000-000013120000}"/>
    <cellStyle name="Title1" xfId="4662" xr:uid="{00000000-0005-0000-0000-000014120000}"/>
    <cellStyle name="top" xfId="4262" xr:uid="{00000000-0005-0000-0000-000015120000}"/>
    <cellStyle name="Total 10" xfId="4115" xr:uid="{00000000-0005-0000-0000-000016120000}"/>
    <cellStyle name="Total 11" xfId="4116" xr:uid="{00000000-0005-0000-0000-000017120000}"/>
    <cellStyle name="Total 12" xfId="4117" xr:uid="{00000000-0005-0000-0000-000018120000}"/>
    <cellStyle name="Total 13" xfId="4118" xr:uid="{00000000-0005-0000-0000-000019120000}"/>
    <cellStyle name="Total 14" xfId="4119" xr:uid="{00000000-0005-0000-0000-00001A120000}"/>
    <cellStyle name="Total 15" xfId="4120" xr:uid="{00000000-0005-0000-0000-00001B120000}"/>
    <cellStyle name="Total 16" xfId="4121" xr:uid="{00000000-0005-0000-0000-00001C120000}"/>
    <cellStyle name="Total 17" xfId="4122" xr:uid="{00000000-0005-0000-0000-00001D120000}"/>
    <cellStyle name="Total 18" xfId="4123" xr:uid="{00000000-0005-0000-0000-00001E120000}"/>
    <cellStyle name="Total 2" xfId="185" xr:uid="{00000000-0005-0000-0000-00001F120000}"/>
    <cellStyle name="Total 2 2" xfId="4124" xr:uid="{00000000-0005-0000-0000-000020120000}"/>
    <cellStyle name="Total 2 3" xfId="4125" xr:uid="{00000000-0005-0000-0000-000021120000}"/>
    <cellStyle name="Total 2 4" xfId="4126" xr:uid="{00000000-0005-0000-0000-000022120000}"/>
    <cellStyle name="Total 2 5" xfId="4127" xr:uid="{00000000-0005-0000-0000-000023120000}"/>
    <cellStyle name="Total 3" xfId="4128" xr:uid="{00000000-0005-0000-0000-000024120000}"/>
    <cellStyle name="Total 4" xfId="4129" xr:uid="{00000000-0005-0000-0000-000025120000}"/>
    <cellStyle name="Total 5" xfId="4130" xr:uid="{00000000-0005-0000-0000-000026120000}"/>
    <cellStyle name="Total 6" xfId="4131" xr:uid="{00000000-0005-0000-0000-000027120000}"/>
    <cellStyle name="Total 7" xfId="4132" xr:uid="{00000000-0005-0000-0000-000028120000}"/>
    <cellStyle name="Total 8" xfId="4133" xr:uid="{00000000-0005-0000-0000-000029120000}"/>
    <cellStyle name="Total 9" xfId="4134" xr:uid="{00000000-0005-0000-0000-00002A120000}"/>
    <cellStyle name="Unprot" xfId="186" xr:uid="{00000000-0005-0000-0000-00002B120000}"/>
    <cellStyle name="Unprot 2" xfId="4463" xr:uid="{00000000-0005-0000-0000-00002C120000}"/>
    <cellStyle name="Unprot$" xfId="187" xr:uid="{00000000-0005-0000-0000-00002D120000}"/>
    <cellStyle name="Unprot$ 2" xfId="4464" xr:uid="{00000000-0005-0000-0000-00002E120000}"/>
    <cellStyle name="Unprotect" xfId="188" xr:uid="{00000000-0005-0000-0000-00002F120000}"/>
    <cellStyle name="User_Defined_A" xfId="4465" xr:uid="{00000000-0005-0000-0000-000030120000}"/>
    <cellStyle name="Valign-bottom" xfId="4466" xr:uid="{00000000-0005-0000-0000-000031120000}"/>
    <cellStyle name="Valign-centre" xfId="4467" xr:uid="{00000000-0005-0000-0000-000032120000}"/>
    <cellStyle name="Valign-top" xfId="4468" xr:uid="{00000000-0005-0000-0000-000033120000}"/>
    <cellStyle name="w" xfId="4263" xr:uid="{00000000-0005-0000-0000-000034120000}"/>
    <cellStyle name="Warning Text 10" xfId="4135" xr:uid="{00000000-0005-0000-0000-000035120000}"/>
    <cellStyle name="Warning Text 11" xfId="4136" xr:uid="{00000000-0005-0000-0000-000036120000}"/>
    <cellStyle name="Warning Text 12" xfId="4137" xr:uid="{00000000-0005-0000-0000-000037120000}"/>
    <cellStyle name="Warning Text 13" xfId="4138" xr:uid="{00000000-0005-0000-0000-000038120000}"/>
    <cellStyle name="Warning Text 14" xfId="4139" xr:uid="{00000000-0005-0000-0000-000039120000}"/>
    <cellStyle name="Warning Text 15" xfId="4140" xr:uid="{00000000-0005-0000-0000-00003A120000}"/>
    <cellStyle name="Warning Text 16" xfId="4141" xr:uid="{00000000-0005-0000-0000-00003B120000}"/>
    <cellStyle name="Warning Text 17" xfId="4142" xr:uid="{00000000-0005-0000-0000-00003C120000}"/>
    <cellStyle name="Warning Text 18" xfId="4143" xr:uid="{00000000-0005-0000-0000-00003D120000}"/>
    <cellStyle name="Warning Text 2" xfId="189" xr:uid="{00000000-0005-0000-0000-00003E120000}"/>
    <cellStyle name="Warning Text 2 2" xfId="4144" xr:uid="{00000000-0005-0000-0000-00003F120000}"/>
    <cellStyle name="Warning Text 2 3" xfId="4145" xr:uid="{00000000-0005-0000-0000-000040120000}"/>
    <cellStyle name="Warning Text 2 4" xfId="4146" xr:uid="{00000000-0005-0000-0000-000041120000}"/>
    <cellStyle name="Warning Text 2 5" xfId="4147" xr:uid="{00000000-0005-0000-0000-000042120000}"/>
    <cellStyle name="Warning Text 3" xfId="4148" xr:uid="{00000000-0005-0000-0000-000043120000}"/>
    <cellStyle name="Warning Text 4" xfId="4149" xr:uid="{00000000-0005-0000-0000-000044120000}"/>
    <cellStyle name="Warning Text 5" xfId="4150" xr:uid="{00000000-0005-0000-0000-000045120000}"/>
    <cellStyle name="Warning Text 6" xfId="4151" xr:uid="{00000000-0005-0000-0000-000046120000}"/>
    <cellStyle name="Warning Text 7" xfId="4152" xr:uid="{00000000-0005-0000-0000-000047120000}"/>
    <cellStyle name="Warning Text 8" xfId="4153" xr:uid="{00000000-0005-0000-0000-000048120000}"/>
    <cellStyle name="Warning Text 9" xfId="4154" xr:uid="{00000000-0005-0000-0000-000049120000}"/>
    <cellStyle name="Wrap Text" xfId="4469" xr:uid="{00000000-0005-0000-0000-00004A120000}"/>
    <cellStyle name="XComma" xfId="4264" xr:uid="{00000000-0005-0000-0000-00004B120000}"/>
    <cellStyle name="XComma 0.0" xfId="4265" xr:uid="{00000000-0005-0000-0000-00004C120000}"/>
    <cellStyle name="XComma 0.00" xfId="4266" xr:uid="{00000000-0005-0000-0000-00004D120000}"/>
    <cellStyle name="XComma 0.000" xfId="4267" xr:uid="{00000000-0005-0000-0000-00004E120000}"/>
    <cellStyle name="XCurrency" xfId="4268" xr:uid="{00000000-0005-0000-0000-00004F120000}"/>
    <cellStyle name="XCurrency 0.0" xfId="4269" xr:uid="{00000000-0005-0000-0000-000050120000}"/>
    <cellStyle name="XCurrency 0.00" xfId="4270" xr:uid="{00000000-0005-0000-0000-000051120000}"/>
    <cellStyle name="XCurrency 0.000" xfId="4271" xr:uid="{00000000-0005-0000-0000-000052120000}"/>
    <cellStyle name="yra" xfId="4272" xr:uid="{00000000-0005-0000-0000-000053120000}"/>
    <cellStyle name="yrActual" xfId="4273" xr:uid="{00000000-0005-0000-0000-000054120000}"/>
    <cellStyle name="yre" xfId="4274" xr:uid="{00000000-0005-0000-0000-000055120000}"/>
    <cellStyle name="yrExpect" xfId="4275" xr:uid="{00000000-0005-0000-0000-00005612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FFFFCC"/>
      <color rgb="FF0000CC"/>
      <color rgb="FF000099"/>
      <color rgb="FF80008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mnguyen\My%20Documents\c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pkettles\Local%20Settings\Temporary%20Internet%20Files\OLKE\GF%20200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fitToPage="1"/>
  </sheetPr>
  <dimension ref="A1:E54"/>
  <sheetViews>
    <sheetView workbookViewId="0">
      <selection sqref="A1:E1"/>
    </sheetView>
  </sheetViews>
  <sheetFormatPr defaultColWidth="8.77734375" defaultRowHeight="15.75"/>
  <cols>
    <col min="1" max="1" width="23.77734375" style="189" customWidth="1"/>
    <col min="2" max="2" width="36.77734375" style="189" customWidth="1"/>
    <col min="3" max="3" width="67" style="189" bestFit="1" customWidth="1"/>
    <col min="4" max="4" width="18.77734375" style="189" customWidth="1"/>
    <col min="5" max="16384" width="8.77734375" style="189"/>
  </cols>
  <sheetData>
    <row r="1" spans="1:5" ht="20.25">
      <c r="A1" s="758" t="s">
        <v>317</v>
      </c>
      <c r="B1" s="758"/>
      <c r="C1" s="758"/>
      <c r="D1" s="758"/>
      <c r="E1" s="758"/>
    </row>
    <row r="2" spans="1:5" ht="20.25">
      <c r="A2" s="758" t="s">
        <v>547</v>
      </c>
      <c r="B2" s="758"/>
      <c r="C2" s="758"/>
      <c r="D2" s="758"/>
      <c r="E2" s="758"/>
    </row>
    <row r="3" spans="1:5">
      <c r="A3" s="190"/>
    </row>
    <row r="4" spans="1:5" ht="20.25">
      <c r="A4" s="758" t="s">
        <v>303</v>
      </c>
      <c r="B4" s="758"/>
      <c r="C4" s="758"/>
      <c r="D4" s="758"/>
      <c r="E4" s="758"/>
    </row>
    <row r="5" spans="1:5">
      <c r="A5" s="190"/>
      <c r="E5" s="191" t="s">
        <v>673</v>
      </c>
    </row>
    <row r="6" spans="1:5">
      <c r="A6" s="190" t="s">
        <v>304</v>
      </c>
    </row>
    <row r="7" spans="1:5" ht="47.25" customHeight="1">
      <c r="A7" s="756" t="s">
        <v>649</v>
      </c>
      <c r="B7" s="756"/>
      <c r="C7" s="756"/>
      <c r="D7" s="756"/>
      <c r="E7" s="756"/>
    </row>
    <row r="8" spans="1:5">
      <c r="A8" s="192"/>
      <c r="B8" s="192"/>
      <c r="C8" s="192"/>
      <c r="D8" s="192"/>
      <c r="E8" s="192"/>
    </row>
    <row r="9" spans="1:5" ht="36.75" customHeight="1">
      <c r="A9" s="756" t="s">
        <v>650</v>
      </c>
      <c r="B9" s="756"/>
      <c r="C9" s="756"/>
      <c r="D9" s="756"/>
      <c r="E9" s="756"/>
    </row>
    <row r="10" spans="1:5">
      <c r="A10" s="190"/>
    </row>
    <row r="11" spans="1:5" ht="51.75" customHeight="1">
      <c r="A11" s="756" t="s">
        <v>764</v>
      </c>
      <c r="B11" s="756"/>
      <c r="C11" s="756"/>
      <c r="D11" s="756"/>
      <c r="E11" s="756"/>
    </row>
    <row r="12" spans="1:5" ht="32.25" customHeight="1">
      <c r="A12" s="193"/>
      <c r="B12" s="757" t="s">
        <v>305</v>
      </c>
      <c r="C12" s="757"/>
      <c r="D12" s="757"/>
      <c r="E12" s="757"/>
    </row>
    <row r="13" spans="1:5" ht="19.5" customHeight="1">
      <c r="A13" s="194"/>
      <c r="B13" s="195" t="s">
        <v>674</v>
      </c>
      <c r="C13" s="195"/>
      <c r="D13" s="195"/>
      <c r="E13" s="195"/>
    </row>
    <row r="14" spans="1:5">
      <c r="A14" s="190"/>
      <c r="C14" s="189" t="s">
        <v>306</v>
      </c>
    </row>
    <row r="16" spans="1:5" ht="16.5" thickBot="1">
      <c r="A16" s="196" t="s">
        <v>307</v>
      </c>
      <c r="B16" s="196" t="s">
        <v>308</v>
      </c>
      <c r="C16" s="196" t="s">
        <v>191</v>
      </c>
      <c r="D16" s="197" t="s">
        <v>309</v>
      </c>
      <c r="E16" s="196"/>
    </row>
    <row r="17" spans="1:4">
      <c r="D17" s="198"/>
    </row>
    <row r="18" spans="1:4">
      <c r="A18" s="199"/>
      <c r="D18" s="200"/>
    </row>
    <row r="19" spans="1:4">
      <c r="D19" s="198"/>
    </row>
    <row r="20" spans="1:4">
      <c r="A20" s="201" t="s">
        <v>520</v>
      </c>
      <c r="B20" s="189" t="s">
        <v>479</v>
      </c>
      <c r="C20" s="189" t="s">
        <v>540</v>
      </c>
      <c r="D20" s="200" t="s">
        <v>169</v>
      </c>
    </row>
    <row r="21" spans="1:4" ht="17.25" customHeight="1">
      <c r="D21" s="198"/>
    </row>
    <row r="22" spans="1:4">
      <c r="A22" s="201" t="s">
        <v>521</v>
      </c>
      <c r="B22" s="189" t="s">
        <v>531</v>
      </c>
      <c r="C22" s="189" t="s">
        <v>310</v>
      </c>
      <c r="D22" s="200" t="s">
        <v>169</v>
      </c>
    </row>
    <row r="23" spans="1:4">
      <c r="D23" s="200"/>
    </row>
    <row r="24" spans="1:4">
      <c r="A24" s="201" t="s">
        <v>522</v>
      </c>
      <c r="B24" s="189" t="s">
        <v>532</v>
      </c>
      <c r="C24" s="189" t="s">
        <v>541</v>
      </c>
      <c r="D24" s="200" t="s">
        <v>169</v>
      </c>
    </row>
    <row r="25" spans="1:4">
      <c r="D25" s="200"/>
    </row>
    <row r="26" spans="1:4">
      <c r="A26" s="201" t="s">
        <v>523</v>
      </c>
      <c r="B26" s="189" t="s">
        <v>533</v>
      </c>
      <c r="C26" s="189" t="s">
        <v>545</v>
      </c>
      <c r="D26" s="200" t="s">
        <v>169</v>
      </c>
    </row>
    <row r="27" spans="1:4">
      <c r="D27" s="200"/>
    </row>
    <row r="28" spans="1:4">
      <c r="A28" s="201" t="s">
        <v>524</v>
      </c>
      <c r="B28" s="189" t="s">
        <v>534</v>
      </c>
      <c r="C28" s="189" t="s">
        <v>546</v>
      </c>
      <c r="D28" s="200" t="s">
        <v>169</v>
      </c>
    </row>
    <row r="29" spans="1:4">
      <c r="D29" s="200"/>
    </row>
    <row r="30" spans="1:4">
      <c r="A30" s="201" t="s">
        <v>525</v>
      </c>
      <c r="B30" s="189" t="s">
        <v>535</v>
      </c>
      <c r="C30" s="189" t="s">
        <v>542</v>
      </c>
      <c r="D30" s="200" t="s">
        <v>169</v>
      </c>
    </row>
    <row r="31" spans="1:4">
      <c r="D31" s="200"/>
    </row>
    <row r="32" spans="1:4">
      <c r="A32" s="201" t="s">
        <v>526</v>
      </c>
      <c r="B32" s="189" t="s">
        <v>536</v>
      </c>
      <c r="C32" s="189" t="s">
        <v>543</v>
      </c>
      <c r="D32" s="200" t="s">
        <v>169</v>
      </c>
    </row>
    <row r="33" spans="1:4">
      <c r="D33" s="200"/>
    </row>
    <row r="34" spans="1:4">
      <c r="A34" s="189" t="s">
        <v>725</v>
      </c>
      <c r="B34" s="189" t="s">
        <v>685</v>
      </c>
      <c r="C34" s="189" t="s">
        <v>726</v>
      </c>
      <c r="D34" s="200" t="s">
        <v>169</v>
      </c>
    </row>
    <row r="35" spans="1:4">
      <c r="D35" s="200"/>
    </row>
    <row r="36" spans="1:4">
      <c r="A36" s="189" t="s">
        <v>1041</v>
      </c>
      <c r="B36" s="189" t="s">
        <v>1037</v>
      </c>
      <c r="C36" s="189" t="s">
        <v>979</v>
      </c>
      <c r="D36" s="200" t="s">
        <v>169</v>
      </c>
    </row>
    <row r="37" spans="1:4">
      <c r="D37" s="200"/>
    </row>
    <row r="38" spans="1:4">
      <c r="A38" s="189" t="s">
        <v>1040</v>
      </c>
      <c r="B38" s="189" t="s">
        <v>1038</v>
      </c>
      <c r="C38" s="189" t="s">
        <v>1039</v>
      </c>
      <c r="D38" s="200" t="s">
        <v>169</v>
      </c>
    </row>
    <row r="39" spans="1:4">
      <c r="D39" s="200"/>
    </row>
    <row r="40" spans="1:4">
      <c r="A40" s="201" t="s">
        <v>311</v>
      </c>
      <c r="B40" s="189" t="s">
        <v>312</v>
      </c>
      <c r="C40" s="189" t="s">
        <v>313</v>
      </c>
      <c r="D40" s="200" t="s">
        <v>762</v>
      </c>
    </row>
    <row r="41" spans="1:4">
      <c r="D41" s="200"/>
    </row>
    <row r="42" spans="1:4">
      <c r="A42" s="201" t="s">
        <v>527</v>
      </c>
      <c r="B42" s="189" t="s">
        <v>480</v>
      </c>
      <c r="C42" s="189" t="s">
        <v>544</v>
      </c>
      <c r="D42" s="200" t="s">
        <v>763</v>
      </c>
    </row>
    <row r="43" spans="1:4">
      <c r="D43" s="200"/>
    </row>
    <row r="44" spans="1:4">
      <c r="A44" s="201" t="s">
        <v>528</v>
      </c>
      <c r="B44" s="189" t="s">
        <v>537</v>
      </c>
      <c r="C44" s="189" t="s">
        <v>314</v>
      </c>
      <c r="D44" s="200" t="s">
        <v>763</v>
      </c>
    </row>
    <row r="45" spans="1:4">
      <c r="D45" s="200"/>
    </row>
    <row r="46" spans="1:4">
      <c r="A46" s="201" t="s">
        <v>529</v>
      </c>
      <c r="B46" s="189" t="s">
        <v>538</v>
      </c>
      <c r="C46" s="189" t="s">
        <v>315</v>
      </c>
      <c r="D46" s="200" t="s">
        <v>763</v>
      </c>
    </row>
    <row r="47" spans="1:4">
      <c r="D47" s="200"/>
    </row>
    <row r="48" spans="1:4">
      <c r="A48" s="201" t="s">
        <v>530</v>
      </c>
      <c r="B48" s="189" t="s">
        <v>539</v>
      </c>
      <c r="C48" s="189" t="s">
        <v>316</v>
      </c>
      <c r="D48" s="200" t="s">
        <v>763</v>
      </c>
    </row>
    <row r="49" spans="1:4">
      <c r="A49" s="202"/>
      <c r="B49" s="202"/>
      <c r="C49" s="202"/>
      <c r="D49" s="203"/>
    </row>
    <row r="50" spans="1:4">
      <c r="A50" s="201" t="s">
        <v>727</v>
      </c>
      <c r="B50" s="189" t="s">
        <v>728</v>
      </c>
      <c r="C50" s="189" t="s">
        <v>709</v>
      </c>
      <c r="D50" s="200" t="s">
        <v>763</v>
      </c>
    </row>
    <row r="51" spans="1:4">
      <c r="A51" s="202"/>
      <c r="B51" s="202"/>
      <c r="C51" s="202"/>
      <c r="D51" s="203"/>
    </row>
    <row r="52" spans="1:4">
      <c r="A52" s="201" t="s">
        <v>873</v>
      </c>
      <c r="B52" s="189" t="s">
        <v>860</v>
      </c>
      <c r="C52" s="189" t="s">
        <v>874</v>
      </c>
      <c r="D52" s="200" t="s">
        <v>763</v>
      </c>
    </row>
    <row r="53" spans="1:4">
      <c r="A53" s="202"/>
      <c r="B53" s="202"/>
      <c r="C53" s="202"/>
      <c r="D53" s="203"/>
    </row>
    <row r="54" spans="1:4">
      <c r="A54" s="201" t="s">
        <v>736</v>
      </c>
      <c r="B54" s="189" t="s">
        <v>736</v>
      </c>
      <c r="C54" s="189" t="s">
        <v>737</v>
      </c>
      <c r="D54" s="200" t="s">
        <v>762</v>
      </c>
    </row>
  </sheetData>
  <mergeCells count="7">
    <mergeCell ref="A7:E7"/>
    <mergeCell ref="A9:E9"/>
    <mergeCell ref="A11:E11"/>
    <mergeCell ref="B12:E12"/>
    <mergeCell ref="A1:E1"/>
    <mergeCell ref="A2:E2"/>
    <mergeCell ref="A4:E4"/>
  </mergeCells>
  <pageMargins left="0.75" right="0.75" top="1" bottom="1" header="0.5" footer="0.5"/>
  <pageSetup scale="48" orientation="portrait" r:id="rId1"/>
  <headerFooter differentFirst="1" alignWithMargins="0">
    <firstHeader>&amp;R&amp;"Times New Roman,Regular"Docket No. ER19-__-000
Exhibit No. CLP-106</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39997558519241921"/>
    <pageSetUpPr fitToPage="1"/>
  </sheetPr>
  <dimension ref="A1:J43"/>
  <sheetViews>
    <sheetView workbookViewId="0">
      <selection activeCell="A36" sqref="A36"/>
    </sheetView>
  </sheetViews>
  <sheetFormatPr defaultColWidth="7.109375" defaultRowHeight="12.75"/>
  <cols>
    <col min="1" max="1" width="2.109375" style="204" customWidth="1"/>
    <col min="2" max="2" width="4.77734375" style="204" customWidth="1"/>
    <col min="3" max="3" width="17.44140625" style="204" customWidth="1"/>
    <col min="4" max="4" width="36.77734375" style="204" bestFit="1" customWidth="1"/>
    <col min="5" max="5" width="10" style="204" customWidth="1"/>
    <col min="6" max="6" width="7.21875" style="204" customWidth="1"/>
    <col min="7" max="7" width="7.5546875" style="204" customWidth="1"/>
    <col min="8" max="8" width="9.21875" style="215" customWidth="1"/>
    <col min="9" max="9" width="8.21875" style="204" customWidth="1"/>
    <col min="10" max="249" width="7.109375" style="204"/>
    <col min="250" max="250" width="10.21875" style="204" customWidth="1"/>
    <col min="251" max="251" width="3.5546875" style="204" customWidth="1"/>
    <col min="252" max="253" width="1.77734375" style="204" customWidth="1"/>
    <col min="254" max="254" width="4" style="204" customWidth="1"/>
    <col min="255" max="255" width="24.21875" style="204" customWidth="1"/>
    <col min="256" max="256" width="1.77734375" style="204" customWidth="1"/>
    <col min="257" max="258" width="8.21875" style="204" customWidth="1"/>
    <col min="259" max="505" width="7.109375" style="204"/>
    <col min="506" max="506" width="10.21875" style="204" customWidth="1"/>
    <col min="507" max="507" width="3.5546875" style="204" customWidth="1"/>
    <col min="508" max="509" width="1.77734375" style="204" customWidth="1"/>
    <col min="510" max="510" width="4" style="204" customWidth="1"/>
    <col min="511" max="511" width="24.21875" style="204" customWidth="1"/>
    <col min="512" max="512" width="1.77734375" style="204" customWidth="1"/>
    <col min="513" max="514" width="8.21875" style="204" customWidth="1"/>
    <col min="515" max="761" width="7.109375" style="204"/>
    <col min="762" max="762" width="10.21875" style="204" customWidth="1"/>
    <col min="763" max="763" width="3.5546875" style="204" customWidth="1"/>
    <col min="764" max="765" width="1.77734375" style="204" customWidth="1"/>
    <col min="766" max="766" width="4" style="204" customWidth="1"/>
    <col min="767" max="767" width="24.21875" style="204" customWidth="1"/>
    <col min="768" max="768" width="1.77734375" style="204" customWidth="1"/>
    <col min="769" max="770" width="8.21875" style="204" customWidth="1"/>
    <col min="771" max="1017" width="7.109375" style="204"/>
    <col min="1018" max="1018" width="10.21875" style="204" customWidth="1"/>
    <col min="1019" max="1019" width="3.5546875" style="204" customWidth="1"/>
    <col min="1020" max="1021" width="1.77734375" style="204" customWidth="1"/>
    <col min="1022" max="1022" width="4" style="204" customWidth="1"/>
    <col min="1023" max="1023" width="24.21875" style="204" customWidth="1"/>
    <col min="1024" max="1024" width="1.77734375" style="204" customWidth="1"/>
    <col min="1025" max="1026" width="8.21875" style="204" customWidth="1"/>
    <col min="1027" max="1273" width="7.109375" style="204"/>
    <col min="1274" max="1274" width="10.21875" style="204" customWidth="1"/>
    <col min="1275" max="1275" width="3.5546875" style="204" customWidth="1"/>
    <col min="1276" max="1277" width="1.77734375" style="204" customWidth="1"/>
    <col min="1278" max="1278" width="4" style="204" customWidth="1"/>
    <col min="1279" max="1279" width="24.21875" style="204" customWidth="1"/>
    <col min="1280" max="1280" width="1.77734375" style="204" customWidth="1"/>
    <col min="1281" max="1282" width="8.21875" style="204" customWidth="1"/>
    <col min="1283" max="1529" width="7.109375" style="204"/>
    <col min="1530" max="1530" width="10.21875" style="204" customWidth="1"/>
    <col min="1531" max="1531" width="3.5546875" style="204" customWidth="1"/>
    <col min="1532" max="1533" width="1.77734375" style="204" customWidth="1"/>
    <col min="1534" max="1534" width="4" style="204" customWidth="1"/>
    <col min="1535" max="1535" width="24.21875" style="204" customWidth="1"/>
    <col min="1536" max="1536" width="1.77734375" style="204" customWidth="1"/>
    <col min="1537" max="1538" width="8.21875" style="204" customWidth="1"/>
    <col min="1539" max="1785" width="7.109375" style="204"/>
    <col min="1786" max="1786" width="10.21875" style="204" customWidth="1"/>
    <col min="1787" max="1787" width="3.5546875" style="204" customWidth="1"/>
    <col min="1788" max="1789" width="1.77734375" style="204" customWidth="1"/>
    <col min="1790" max="1790" width="4" style="204" customWidth="1"/>
    <col min="1791" max="1791" width="24.21875" style="204" customWidth="1"/>
    <col min="1792" max="1792" width="1.77734375" style="204" customWidth="1"/>
    <col min="1793" max="1794" width="8.21875" style="204" customWidth="1"/>
    <col min="1795" max="2041" width="7.109375" style="204"/>
    <col min="2042" max="2042" width="10.21875" style="204" customWidth="1"/>
    <col min="2043" max="2043" width="3.5546875" style="204" customWidth="1"/>
    <col min="2044" max="2045" width="1.77734375" style="204" customWidth="1"/>
    <col min="2046" max="2046" width="4" style="204" customWidth="1"/>
    <col min="2047" max="2047" width="24.21875" style="204" customWidth="1"/>
    <col min="2048" max="2048" width="1.77734375" style="204" customWidth="1"/>
    <col min="2049" max="2050" width="8.21875" style="204" customWidth="1"/>
    <col min="2051" max="2297" width="7.109375" style="204"/>
    <col min="2298" max="2298" width="10.21875" style="204" customWidth="1"/>
    <col min="2299" max="2299" width="3.5546875" style="204" customWidth="1"/>
    <col min="2300" max="2301" width="1.77734375" style="204" customWidth="1"/>
    <col min="2302" max="2302" width="4" style="204" customWidth="1"/>
    <col min="2303" max="2303" width="24.21875" style="204" customWidth="1"/>
    <col min="2304" max="2304" width="1.77734375" style="204" customWidth="1"/>
    <col min="2305" max="2306" width="8.21875" style="204" customWidth="1"/>
    <col min="2307" max="2553" width="7.109375" style="204"/>
    <col min="2554" max="2554" width="10.21875" style="204" customWidth="1"/>
    <col min="2555" max="2555" width="3.5546875" style="204" customWidth="1"/>
    <col min="2556" max="2557" width="1.77734375" style="204" customWidth="1"/>
    <col min="2558" max="2558" width="4" style="204" customWidth="1"/>
    <col min="2559" max="2559" width="24.21875" style="204" customWidth="1"/>
    <col min="2560" max="2560" width="1.77734375" style="204" customWidth="1"/>
    <col min="2561" max="2562" width="8.21875" style="204" customWidth="1"/>
    <col min="2563" max="2809" width="7.109375" style="204"/>
    <col min="2810" max="2810" width="10.21875" style="204" customWidth="1"/>
    <col min="2811" max="2811" width="3.5546875" style="204" customWidth="1"/>
    <col min="2812" max="2813" width="1.77734375" style="204" customWidth="1"/>
    <col min="2814" max="2814" width="4" style="204" customWidth="1"/>
    <col min="2815" max="2815" width="24.21875" style="204" customWidth="1"/>
    <col min="2816" max="2816" width="1.77734375" style="204" customWidth="1"/>
    <col min="2817" max="2818" width="8.21875" style="204" customWidth="1"/>
    <col min="2819" max="3065" width="7.109375" style="204"/>
    <col min="3066" max="3066" width="10.21875" style="204" customWidth="1"/>
    <col min="3067" max="3067" width="3.5546875" style="204" customWidth="1"/>
    <col min="3068" max="3069" width="1.77734375" style="204" customWidth="1"/>
    <col min="3070" max="3070" width="4" style="204" customWidth="1"/>
    <col min="3071" max="3071" width="24.21875" style="204" customWidth="1"/>
    <col min="3072" max="3072" width="1.77734375" style="204" customWidth="1"/>
    <col min="3073" max="3074" width="8.21875" style="204" customWidth="1"/>
    <col min="3075" max="3321" width="7.109375" style="204"/>
    <col min="3322" max="3322" width="10.21875" style="204" customWidth="1"/>
    <col min="3323" max="3323" width="3.5546875" style="204" customWidth="1"/>
    <col min="3324" max="3325" width="1.77734375" style="204" customWidth="1"/>
    <col min="3326" max="3326" width="4" style="204" customWidth="1"/>
    <col min="3327" max="3327" width="24.21875" style="204" customWidth="1"/>
    <col min="3328" max="3328" width="1.77734375" style="204" customWidth="1"/>
    <col min="3329" max="3330" width="8.21875" style="204" customWidth="1"/>
    <col min="3331" max="3577" width="7.109375" style="204"/>
    <col min="3578" max="3578" width="10.21875" style="204" customWidth="1"/>
    <col min="3579" max="3579" width="3.5546875" style="204" customWidth="1"/>
    <col min="3580" max="3581" width="1.77734375" style="204" customWidth="1"/>
    <col min="3582" max="3582" width="4" style="204" customWidth="1"/>
    <col min="3583" max="3583" width="24.21875" style="204" customWidth="1"/>
    <col min="3584" max="3584" width="1.77734375" style="204" customWidth="1"/>
    <col min="3585" max="3586" width="8.21875" style="204" customWidth="1"/>
    <col min="3587" max="3833" width="7.109375" style="204"/>
    <col min="3834" max="3834" width="10.21875" style="204" customWidth="1"/>
    <col min="3835" max="3835" width="3.5546875" style="204" customWidth="1"/>
    <col min="3836" max="3837" width="1.77734375" style="204" customWidth="1"/>
    <col min="3838" max="3838" width="4" style="204" customWidth="1"/>
    <col min="3839" max="3839" width="24.21875" style="204" customWidth="1"/>
    <col min="3840" max="3840" width="1.77734375" style="204" customWidth="1"/>
    <col min="3841" max="3842" width="8.21875" style="204" customWidth="1"/>
    <col min="3843" max="4089" width="7.109375" style="204"/>
    <col min="4090" max="4090" width="10.21875" style="204" customWidth="1"/>
    <col min="4091" max="4091" width="3.5546875" style="204" customWidth="1"/>
    <col min="4092" max="4093" width="1.77734375" style="204" customWidth="1"/>
    <col min="4094" max="4094" width="4" style="204" customWidth="1"/>
    <col min="4095" max="4095" width="24.21875" style="204" customWidth="1"/>
    <col min="4096" max="4096" width="1.77734375" style="204" customWidth="1"/>
    <col min="4097" max="4098" width="8.21875" style="204" customWidth="1"/>
    <col min="4099" max="4345" width="7.109375" style="204"/>
    <col min="4346" max="4346" width="10.21875" style="204" customWidth="1"/>
    <col min="4347" max="4347" width="3.5546875" style="204" customWidth="1"/>
    <col min="4348" max="4349" width="1.77734375" style="204" customWidth="1"/>
    <col min="4350" max="4350" width="4" style="204" customWidth="1"/>
    <col min="4351" max="4351" width="24.21875" style="204" customWidth="1"/>
    <col min="4352" max="4352" width="1.77734375" style="204" customWidth="1"/>
    <col min="4353" max="4354" width="8.21875" style="204" customWidth="1"/>
    <col min="4355" max="4601" width="7.109375" style="204"/>
    <col min="4602" max="4602" width="10.21875" style="204" customWidth="1"/>
    <col min="4603" max="4603" width="3.5546875" style="204" customWidth="1"/>
    <col min="4604" max="4605" width="1.77734375" style="204" customWidth="1"/>
    <col min="4606" max="4606" width="4" style="204" customWidth="1"/>
    <col min="4607" max="4607" width="24.21875" style="204" customWidth="1"/>
    <col min="4608" max="4608" width="1.77734375" style="204" customWidth="1"/>
    <col min="4609" max="4610" width="8.21875" style="204" customWidth="1"/>
    <col min="4611" max="4857" width="7.109375" style="204"/>
    <col min="4858" max="4858" width="10.21875" style="204" customWidth="1"/>
    <col min="4859" max="4859" width="3.5546875" style="204" customWidth="1"/>
    <col min="4860" max="4861" width="1.77734375" style="204" customWidth="1"/>
    <col min="4862" max="4862" width="4" style="204" customWidth="1"/>
    <col min="4863" max="4863" width="24.21875" style="204" customWidth="1"/>
    <col min="4864" max="4864" width="1.77734375" style="204" customWidth="1"/>
    <col min="4865" max="4866" width="8.21875" style="204" customWidth="1"/>
    <col min="4867" max="5113" width="7.109375" style="204"/>
    <col min="5114" max="5114" width="10.21875" style="204" customWidth="1"/>
    <col min="5115" max="5115" width="3.5546875" style="204" customWidth="1"/>
    <col min="5116" max="5117" width="1.77734375" style="204" customWidth="1"/>
    <col min="5118" max="5118" width="4" style="204" customWidth="1"/>
    <col min="5119" max="5119" width="24.21875" style="204" customWidth="1"/>
    <col min="5120" max="5120" width="1.77734375" style="204" customWidth="1"/>
    <col min="5121" max="5122" width="8.21875" style="204" customWidth="1"/>
    <col min="5123" max="5369" width="7.109375" style="204"/>
    <col min="5370" max="5370" width="10.21875" style="204" customWidth="1"/>
    <col min="5371" max="5371" width="3.5546875" style="204" customWidth="1"/>
    <col min="5372" max="5373" width="1.77734375" style="204" customWidth="1"/>
    <col min="5374" max="5374" width="4" style="204" customWidth="1"/>
    <col min="5375" max="5375" width="24.21875" style="204" customWidth="1"/>
    <col min="5376" max="5376" width="1.77734375" style="204" customWidth="1"/>
    <col min="5377" max="5378" width="8.21875" style="204" customWidth="1"/>
    <col min="5379" max="5625" width="7.109375" style="204"/>
    <col min="5626" max="5626" width="10.21875" style="204" customWidth="1"/>
    <col min="5627" max="5627" width="3.5546875" style="204" customWidth="1"/>
    <col min="5628" max="5629" width="1.77734375" style="204" customWidth="1"/>
    <col min="5630" max="5630" width="4" style="204" customWidth="1"/>
    <col min="5631" max="5631" width="24.21875" style="204" customWidth="1"/>
    <col min="5632" max="5632" width="1.77734375" style="204" customWidth="1"/>
    <col min="5633" max="5634" width="8.21875" style="204" customWidth="1"/>
    <col min="5635" max="5881" width="7.109375" style="204"/>
    <col min="5882" max="5882" width="10.21875" style="204" customWidth="1"/>
    <col min="5883" max="5883" width="3.5546875" style="204" customWidth="1"/>
    <col min="5884" max="5885" width="1.77734375" style="204" customWidth="1"/>
    <col min="5886" max="5886" width="4" style="204" customWidth="1"/>
    <col min="5887" max="5887" width="24.21875" style="204" customWidth="1"/>
    <col min="5888" max="5888" width="1.77734375" style="204" customWidth="1"/>
    <col min="5889" max="5890" width="8.21875" style="204" customWidth="1"/>
    <col min="5891" max="6137" width="7.109375" style="204"/>
    <col min="6138" max="6138" width="10.21875" style="204" customWidth="1"/>
    <col min="6139" max="6139" width="3.5546875" style="204" customWidth="1"/>
    <col min="6140" max="6141" width="1.77734375" style="204" customWidth="1"/>
    <col min="6142" max="6142" width="4" style="204" customWidth="1"/>
    <col min="6143" max="6143" width="24.21875" style="204" customWidth="1"/>
    <col min="6144" max="6144" width="1.77734375" style="204" customWidth="1"/>
    <col min="6145" max="6146" width="8.21875" style="204" customWidth="1"/>
    <col min="6147" max="6393" width="7.109375" style="204"/>
    <col min="6394" max="6394" width="10.21875" style="204" customWidth="1"/>
    <col min="6395" max="6395" width="3.5546875" style="204" customWidth="1"/>
    <col min="6396" max="6397" width="1.77734375" style="204" customWidth="1"/>
    <col min="6398" max="6398" width="4" style="204" customWidth="1"/>
    <col min="6399" max="6399" width="24.21875" style="204" customWidth="1"/>
    <col min="6400" max="6400" width="1.77734375" style="204" customWidth="1"/>
    <col min="6401" max="6402" width="8.21875" style="204" customWidth="1"/>
    <col min="6403" max="6649" width="7.109375" style="204"/>
    <col min="6650" max="6650" width="10.21875" style="204" customWidth="1"/>
    <col min="6651" max="6651" width="3.5546875" style="204" customWidth="1"/>
    <col min="6652" max="6653" width="1.77734375" style="204" customWidth="1"/>
    <col min="6654" max="6654" width="4" style="204" customWidth="1"/>
    <col min="6655" max="6655" width="24.21875" style="204" customWidth="1"/>
    <col min="6656" max="6656" width="1.77734375" style="204" customWidth="1"/>
    <col min="6657" max="6658" width="8.21875" style="204" customWidth="1"/>
    <col min="6659" max="6905" width="7.109375" style="204"/>
    <col min="6906" max="6906" width="10.21875" style="204" customWidth="1"/>
    <col min="6907" max="6907" width="3.5546875" style="204" customWidth="1"/>
    <col min="6908" max="6909" width="1.77734375" style="204" customWidth="1"/>
    <col min="6910" max="6910" width="4" style="204" customWidth="1"/>
    <col min="6911" max="6911" width="24.21875" style="204" customWidth="1"/>
    <col min="6912" max="6912" width="1.77734375" style="204" customWidth="1"/>
    <col min="6913" max="6914" width="8.21875" style="204" customWidth="1"/>
    <col min="6915" max="7161" width="7.109375" style="204"/>
    <col min="7162" max="7162" width="10.21875" style="204" customWidth="1"/>
    <col min="7163" max="7163" width="3.5546875" style="204" customWidth="1"/>
    <col min="7164" max="7165" width="1.77734375" style="204" customWidth="1"/>
    <col min="7166" max="7166" width="4" style="204" customWidth="1"/>
    <col min="7167" max="7167" width="24.21875" style="204" customWidth="1"/>
    <col min="7168" max="7168" width="1.77734375" style="204" customWidth="1"/>
    <col min="7169" max="7170" width="8.21875" style="204" customWidth="1"/>
    <col min="7171" max="7417" width="7.109375" style="204"/>
    <col min="7418" max="7418" width="10.21875" style="204" customWidth="1"/>
    <col min="7419" max="7419" width="3.5546875" style="204" customWidth="1"/>
    <col min="7420" max="7421" width="1.77734375" style="204" customWidth="1"/>
    <col min="7422" max="7422" width="4" style="204" customWidth="1"/>
    <col min="7423" max="7423" width="24.21875" style="204" customWidth="1"/>
    <col min="7424" max="7424" width="1.77734375" style="204" customWidth="1"/>
    <col min="7425" max="7426" width="8.21875" style="204" customWidth="1"/>
    <col min="7427" max="7673" width="7.109375" style="204"/>
    <col min="7674" max="7674" width="10.21875" style="204" customWidth="1"/>
    <col min="7675" max="7675" width="3.5546875" style="204" customWidth="1"/>
    <col min="7676" max="7677" width="1.77734375" style="204" customWidth="1"/>
    <col min="7678" max="7678" width="4" style="204" customWidth="1"/>
    <col min="7679" max="7679" width="24.21875" style="204" customWidth="1"/>
    <col min="7680" max="7680" width="1.77734375" style="204" customWidth="1"/>
    <col min="7681" max="7682" width="8.21875" style="204" customWidth="1"/>
    <col min="7683" max="7929" width="7.109375" style="204"/>
    <col min="7930" max="7930" width="10.21875" style="204" customWidth="1"/>
    <col min="7931" max="7931" width="3.5546875" style="204" customWidth="1"/>
    <col min="7932" max="7933" width="1.77734375" style="204" customWidth="1"/>
    <col min="7934" max="7934" width="4" style="204" customWidth="1"/>
    <col min="7935" max="7935" width="24.21875" style="204" customWidth="1"/>
    <col min="7936" max="7936" width="1.77734375" style="204" customWidth="1"/>
    <col min="7937" max="7938" width="8.21875" style="204" customWidth="1"/>
    <col min="7939" max="8185" width="7.109375" style="204"/>
    <col min="8186" max="8186" width="10.21875" style="204" customWidth="1"/>
    <col min="8187" max="8187" width="3.5546875" style="204" customWidth="1"/>
    <col min="8188" max="8189" width="1.77734375" style="204" customWidth="1"/>
    <col min="8190" max="8190" width="4" style="204" customWidth="1"/>
    <col min="8191" max="8191" width="24.21875" style="204" customWidth="1"/>
    <col min="8192" max="8192" width="1.77734375" style="204" customWidth="1"/>
    <col min="8193" max="8194" width="8.21875" style="204" customWidth="1"/>
    <col min="8195" max="8441" width="7.109375" style="204"/>
    <col min="8442" max="8442" width="10.21875" style="204" customWidth="1"/>
    <col min="8443" max="8443" width="3.5546875" style="204" customWidth="1"/>
    <col min="8444" max="8445" width="1.77734375" style="204" customWidth="1"/>
    <col min="8446" max="8446" width="4" style="204" customWidth="1"/>
    <col min="8447" max="8447" width="24.21875" style="204" customWidth="1"/>
    <col min="8448" max="8448" width="1.77734375" style="204" customWidth="1"/>
    <col min="8449" max="8450" width="8.21875" style="204" customWidth="1"/>
    <col min="8451" max="8697" width="7.109375" style="204"/>
    <col min="8698" max="8698" width="10.21875" style="204" customWidth="1"/>
    <col min="8699" max="8699" width="3.5546875" style="204" customWidth="1"/>
    <col min="8700" max="8701" width="1.77734375" style="204" customWidth="1"/>
    <col min="8702" max="8702" width="4" style="204" customWidth="1"/>
    <col min="8703" max="8703" width="24.21875" style="204" customWidth="1"/>
    <col min="8704" max="8704" width="1.77734375" style="204" customWidth="1"/>
    <col min="8705" max="8706" width="8.21875" style="204" customWidth="1"/>
    <col min="8707" max="8953" width="7.109375" style="204"/>
    <col min="8954" max="8954" width="10.21875" style="204" customWidth="1"/>
    <col min="8955" max="8955" width="3.5546875" style="204" customWidth="1"/>
    <col min="8956" max="8957" width="1.77734375" style="204" customWidth="1"/>
    <col min="8958" max="8958" width="4" style="204" customWidth="1"/>
    <col min="8959" max="8959" width="24.21875" style="204" customWidth="1"/>
    <col min="8960" max="8960" width="1.77734375" style="204" customWidth="1"/>
    <col min="8961" max="8962" width="8.21875" style="204" customWidth="1"/>
    <col min="8963" max="9209" width="7.109375" style="204"/>
    <col min="9210" max="9210" width="10.21875" style="204" customWidth="1"/>
    <col min="9211" max="9211" width="3.5546875" style="204" customWidth="1"/>
    <col min="9212" max="9213" width="1.77734375" style="204" customWidth="1"/>
    <col min="9214" max="9214" width="4" style="204" customWidth="1"/>
    <col min="9215" max="9215" width="24.21875" style="204" customWidth="1"/>
    <col min="9216" max="9216" width="1.77734375" style="204" customWidth="1"/>
    <col min="9217" max="9218" width="8.21875" style="204" customWidth="1"/>
    <col min="9219" max="9465" width="7.109375" style="204"/>
    <col min="9466" max="9466" width="10.21875" style="204" customWidth="1"/>
    <col min="9467" max="9467" width="3.5546875" style="204" customWidth="1"/>
    <col min="9468" max="9469" width="1.77734375" style="204" customWidth="1"/>
    <col min="9470" max="9470" width="4" style="204" customWidth="1"/>
    <col min="9471" max="9471" width="24.21875" style="204" customWidth="1"/>
    <col min="9472" max="9472" width="1.77734375" style="204" customWidth="1"/>
    <col min="9473" max="9474" width="8.21875" style="204" customWidth="1"/>
    <col min="9475" max="9721" width="7.109375" style="204"/>
    <col min="9722" max="9722" width="10.21875" style="204" customWidth="1"/>
    <col min="9723" max="9723" width="3.5546875" style="204" customWidth="1"/>
    <col min="9724" max="9725" width="1.77734375" style="204" customWidth="1"/>
    <col min="9726" max="9726" width="4" style="204" customWidth="1"/>
    <col min="9727" max="9727" width="24.21875" style="204" customWidth="1"/>
    <col min="9728" max="9728" width="1.77734375" style="204" customWidth="1"/>
    <col min="9729" max="9730" width="8.21875" style="204" customWidth="1"/>
    <col min="9731" max="9977" width="7.109375" style="204"/>
    <col min="9978" max="9978" width="10.21875" style="204" customWidth="1"/>
    <col min="9979" max="9979" width="3.5546875" style="204" customWidth="1"/>
    <col min="9980" max="9981" width="1.77734375" style="204" customWidth="1"/>
    <col min="9982" max="9982" width="4" style="204" customWidth="1"/>
    <col min="9983" max="9983" width="24.21875" style="204" customWidth="1"/>
    <col min="9984" max="9984" width="1.77734375" style="204" customWidth="1"/>
    <col min="9985" max="9986" width="8.21875" style="204" customWidth="1"/>
    <col min="9987" max="10233" width="7.109375" style="204"/>
    <col min="10234" max="10234" width="10.21875" style="204" customWidth="1"/>
    <col min="10235" max="10235" width="3.5546875" style="204" customWidth="1"/>
    <col min="10236" max="10237" width="1.77734375" style="204" customWidth="1"/>
    <col min="10238" max="10238" width="4" style="204" customWidth="1"/>
    <col min="10239" max="10239" width="24.21875" style="204" customWidth="1"/>
    <col min="10240" max="10240" width="1.77734375" style="204" customWidth="1"/>
    <col min="10241" max="10242" width="8.21875" style="204" customWidth="1"/>
    <col min="10243" max="10489" width="7.109375" style="204"/>
    <col min="10490" max="10490" width="10.21875" style="204" customWidth="1"/>
    <col min="10491" max="10491" width="3.5546875" style="204" customWidth="1"/>
    <col min="10492" max="10493" width="1.77734375" style="204" customWidth="1"/>
    <col min="10494" max="10494" width="4" style="204" customWidth="1"/>
    <col min="10495" max="10495" width="24.21875" style="204" customWidth="1"/>
    <col min="10496" max="10496" width="1.77734375" style="204" customWidth="1"/>
    <col min="10497" max="10498" width="8.21875" style="204" customWidth="1"/>
    <col min="10499" max="10745" width="7.109375" style="204"/>
    <col min="10746" max="10746" width="10.21875" style="204" customWidth="1"/>
    <col min="10747" max="10747" width="3.5546875" style="204" customWidth="1"/>
    <col min="10748" max="10749" width="1.77734375" style="204" customWidth="1"/>
    <col min="10750" max="10750" width="4" style="204" customWidth="1"/>
    <col min="10751" max="10751" width="24.21875" style="204" customWidth="1"/>
    <col min="10752" max="10752" width="1.77734375" style="204" customWidth="1"/>
    <col min="10753" max="10754" width="8.21875" style="204" customWidth="1"/>
    <col min="10755" max="11001" width="7.109375" style="204"/>
    <col min="11002" max="11002" width="10.21875" style="204" customWidth="1"/>
    <col min="11003" max="11003" width="3.5546875" style="204" customWidth="1"/>
    <col min="11004" max="11005" width="1.77734375" style="204" customWidth="1"/>
    <col min="11006" max="11006" width="4" style="204" customWidth="1"/>
    <col min="11007" max="11007" width="24.21875" style="204" customWidth="1"/>
    <col min="11008" max="11008" width="1.77734375" style="204" customWidth="1"/>
    <col min="11009" max="11010" width="8.21875" style="204" customWidth="1"/>
    <col min="11011" max="11257" width="7.109375" style="204"/>
    <col min="11258" max="11258" width="10.21875" style="204" customWidth="1"/>
    <col min="11259" max="11259" width="3.5546875" style="204" customWidth="1"/>
    <col min="11260" max="11261" width="1.77734375" style="204" customWidth="1"/>
    <col min="11262" max="11262" width="4" style="204" customWidth="1"/>
    <col min="11263" max="11263" width="24.21875" style="204" customWidth="1"/>
    <col min="11264" max="11264" width="1.77734375" style="204" customWidth="1"/>
    <col min="11265" max="11266" width="8.21875" style="204" customWidth="1"/>
    <col min="11267" max="11513" width="7.109375" style="204"/>
    <col min="11514" max="11514" width="10.21875" style="204" customWidth="1"/>
    <col min="11515" max="11515" width="3.5546875" style="204" customWidth="1"/>
    <col min="11516" max="11517" width="1.77734375" style="204" customWidth="1"/>
    <col min="11518" max="11518" width="4" style="204" customWidth="1"/>
    <col min="11519" max="11519" width="24.21875" style="204" customWidth="1"/>
    <col min="11520" max="11520" width="1.77734375" style="204" customWidth="1"/>
    <col min="11521" max="11522" width="8.21875" style="204" customWidth="1"/>
    <col min="11523" max="11769" width="7.109375" style="204"/>
    <col min="11770" max="11770" width="10.21875" style="204" customWidth="1"/>
    <col min="11771" max="11771" width="3.5546875" style="204" customWidth="1"/>
    <col min="11772" max="11773" width="1.77734375" style="204" customWidth="1"/>
    <col min="11774" max="11774" width="4" style="204" customWidth="1"/>
    <col min="11775" max="11775" width="24.21875" style="204" customWidth="1"/>
    <col min="11776" max="11776" width="1.77734375" style="204" customWidth="1"/>
    <col min="11777" max="11778" width="8.21875" style="204" customWidth="1"/>
    <col min="11779" max="12025" width="7.109375" style="204"/>
    <col min="12026" max="12026" width="10.21875" style="204" customWidth="1"/>
    <col min="12027" max="12027" width="3.5546875" style="204" customWidth="1"/>
    <col min="12028" max="12029" width="1.77734375" style="204" customWidth="1"/>
    <col min="12030" max="12030" width="4" style="204" customWidth="1"/>
    <col min="12031" max="12031" width="24.21875" style="204" customWidth="1"/>
    <col min="12032" max="12032" width="1.77734375" style="204" customWidth="1"/>
    <col min="12033" max="12034" width="8.21875" style="204" customWidth="1"/>
    <col min="12035" max="12281" width="7.109375" style="204"/>
    <col min="12282" max="12282" width="10.21875" style="204" customWidth="1"/>
    <col min="12283" max="12283" width="3.5546875" style="204" customWidth="1"/>
    <col min="12284" max="12285" width="1.77734375" style="204" customWidth="1"/>
    <col min="12286" max="12286" width="4" style="204" customWidth="1"/>
    <col min="12287" max="12287" width="24.21875" style="204" customWidth="1"/>
    <col min="12288" max="12288" width="1.77734375" style="204" customWidth="1"/>
    <col min="12289" max="12290" width="8.21875" style="204" customWidth="1"/>
    <col min="12291" max="12537" width="7.109375" style="204"/>
    <col min="12538" max="12538" width="10.21875" style="204" customWidth="1"/>
    <col min="12539" max="12539" width="3.5546875" style="204" customWidth="1"/>
    <col min="12540" max="12541" width="1.77734375" style="204" customWidth="1"/>
    <col min="12542" max="12542" width="4" style="204" customWidth="1"/>
    <col min="12543" max="12543" width="24.21875" style="204" customWidth="1"/>
    <col min="12544" max="12544" width="1.77734375" style="204" customWidth="1"/>
    <col min="12545" max="12546" width="8.21875" style="204" customWidth="1"/>
    <col min="12547" max="12793" width="7.109375" style="204"/>
    <col min="12794" max="12794" width="10.21875" style="204" customWidth="1"/>
    <col min="12795" max="12795" width="3.5546875" style="204" customWidth="1"/>
    <col min="12796" max="12797" width="1.77734375" style="204" customWidth="1"/>
    <col min="12798" max="12798" width="4" style="204" customWidth="1"/>
    <col min="12799" max="12799" width="24.21875" style="204" customWidth="1"/>
    <col min="12800" max="12800" width="1.77734375" style="204" customWidth="1"/>
    <col min="12801" max="12802" width="8.21875" style="204" customWidth="1"/>
    <col min="12803" max="13049" width="7.109375" style="204"/>
    <col min="13050" max="13050" width="10.21875" style="204" customWidth="1"/>
    <col min="13051" max="13051" width="3.5546875" style="204" customWidth="1"/>
    <col min="13052" max="13053" width="1.77734375" style="204" customWidth="1"/>
    <col min="13054" max="13054" width="4" style="204" customWidth="1"/>
    <col min="13055" max="13055" width="24.21875" style="204" customWidth="1"/>
    <col min="13056" max="13056" width="1.77734375" style="204" customWidth="1"/>
    <col min="13057" max="13058" width="8.21875" style="204" customWidth="1"/>
    <col min="13059" max="13305" width="7.109375" style="204"/>
    <col min="13306" max="13306" width="10.21875" style="204" customWidth="1"/>
    <col min="13307" max="13307" width="3.5546875" style="204" customWidth="1"/>
    <col min="13308" max="13309" width="1.77734375" style="204" customWidth="1"/>
    <col min="13310" max="13310" width="4" style="204" customWidth="1"/>
    <col min="13311" max="13311" width="24.21875" style="204" customWidth="1"/>
    <col min="13312" max="13312" width="1.77734375" style="204" customWidth="1"/>
    <col min="13313" max="13314" width="8.21875" style="204" customWidth="1"/>
    <col min="13315" max="13561" width="7.109375" style="204"/>
    <col min="13562" max="13562" width="10.21875" style="204" customWidth="1"/>
    <col min="13563" max="13563" width="3.5546875" style="204" customWidth="1"/>
    <col min="13564" max="13565" width="1.77734375" style="204" customWidth="1"/>
    <col min="13566" max="13566" width="4" style="204" customWidth="1"/>
    <col min="13567" max="13567" width="24.21875" style="204" customWidth="1"/>
    <col min="13568" max="13568" width="1.77734375" style="204" customWidth="1"/>
    <col min="13569" max="13570" width="8.21875" style="204" customWidth="1"/>
    <col min="13571" max="13817" width="7.109375" style="204"/>
    <col min="13818" max="13818" width="10.21875" style="204" customWidth="1"/>
    <col min="13819" max="13819" width="3.5546875" style="204" customWidth="1"/>
    <col min="13820" max="13821" width="1.77734375" style="204" customWidth="1"/>
    <col min="13822" max="13822" width="4" style="204" customWidth="1"/>
    <col min="13823" max="13823" width="24.21875" style="204" customWidth="1"/>
    <col min="13824" max="13824" width="1.77734375" style="204" customWidth="1"/>
    <col min="13825" max="13826" width="8.21875" style="204" customWidth="1"/>
    <col min="13827" max="14073" width="7.109375" style="204"/>
    <col min="14074" max="14074" width="10.21875" style="204" customWidth="1"/>
    <col min="14075" max="14075" width="3.5546875" style="204" customWidth="1"/>
    <col min="14076" max="14077" width="1.77734375" style="204" customWidth="1"/>
    <col min="14078" max="14078" width="4" style="204" customWidth="1"/>
    <col min="14079" max="14079" width="24.21875" style="204" customWidth="1"/>
    <col min="14080" max="14080" width="1.77734375" style="204" customWidth="1"/>
    <col min="14081" max="14082" width="8.21875" style="204" customWidth="1"/>
    <col min="14083" max="14329" width="7.109375" style="204"/>
    <col min="14330" max="14330" width="10.21875" style="204" customWidth="1"/>
    <col min="14331" max="14331" width="3.5546875" style="204" customWidth="1"/>
    <col min="14332" max="14333" width="1.77734375" style="204" customWidth="1"/>
    <col min="14334" max="14334" width="4" style="204" customWidth="1"/>
    <col min="14335" max="14335" width="24.21875" style="204" customWidth="1"/>
    <col min="14336" max="14336" width="1.77734375" style="204" customWidth="1"/>
    <col min="14337" max="14338" width="8.21875" style="204" customWidth="1"/>
    <col min="14339" max="14585" width="7.109375" style="204"/>
    <col min="14586" max="14586" width="10.21875" style="204" customWidth="1"/>
    <col min="14587" max="14587" width="3.5546875" style="204" customWidth="1"/>
    <col min="14588" max="14589" width="1.77734375" style="204" customWidth="1"/>
    <col min="14590" max="14590" width="4" style="204" customWidth="1"/>
    <col min="14591" max="14591" width="24.21875" style="204" customWidth="1"/>
    <col min="14592" max="14592" width="1.77734375" style="204" customWidth="1"/>
    <col min="14593" max="14594" width="8.21875" style="204" customWidth="1"/>
    <col min="14595" max="14841" width="7.109375" style="204"/>
    <col min="14842" max="14842" width="10.21875" style="204" customWidth="1"/>
    <col min="14843" max="14843" width="3.5546875" style="204" customWidth="1"/>
    <col min="14844" max="14845" width="1.77734375" style="204" customWidth="1"/>
    <col min="14846" max="14846" width="4" style="204" customWidth="1"/>
    <col min="14847" max="14847" width="24.21875" style="204" customWidth="1"/>
    <col min="14848" max="14848" width="1.77734375" style="204" customWidth="1"/>
    <col min="14849" max="14850" width="8.21875" style="204" customWidth="1"/>
    <col min="14851" max="15097" width="7.109375" style="204"/>
    <col min="15098" max="15098" width="10.21875" style="204" customWidth="1"/>
    <col min="15099" max="15099" width="3.5546875" style="204" customWidth="1"/>
    <col min="15100" max="15101" width="1.77734375" style="204" customWidth="1"/>
    <col min="15102" max="15102" width="4" style="204" customWidth="1"/>
    <col min="15103" max="15103" width="24.21875" style="204" customWidth="1"/>
    <col min="15104" max="15104" width="1.77734375" style="204" customWidth="1"/>
    <col min="15105" max="15106" width="8.21875" style="204" customWidth="1"/>
    <col min="15107" max="15353" width="7.109375" style="204"/>
    <col min="15354" max="15354" width="10.21875" style="204" customWidth="1"/>
    <col min="15355" max="15355" width="3.5546875" style="204" customWidth="1"/>
    <col min="15356" max="15357" width="1.77734375" style="204" customWidth="1"/>
    <col min="15358" max="15358" width="4" style="204" customWidth="1"/>
    <col min="15359" max="15359" width="24.21875" style="204" customWidth="1"/>
    <col min="15360" max="15360" width="1.77734375" style="204" customWidth="1"/>
    <col min="15361" max="15362" width="8.21875" style="204" customWidth="1"/>
    <col min="15363" max="15609" width="7.109375" style="204"/>
    <col min="15610" max="15610" width="10.21875" style="204" customWidth="1"/>
    <col min="15611" max="15611" width="3.5546875" style="204" customWidth="1"/>
    <col min="15612" max="15613" width="1.77734375" style="204" customWidth="1"/>
    <col min="15614" max="15614" width="4" style="204" customWidth="1"/>
    <col min="15615" max="15615" width="24.21875" style="204" customWidth="1"/>
    <col min="15616" max="15616" width="1.77734375" style="204" customWidth="1"/>
    <col min="15617" max="15618" width="8.21875" style="204" customWidth="1"/>
    <col min="15619" max="15865" width="7.109375" style="204"/>
    <col min="15866" max="15866" width="10.21875" style="204" customWidth="1"/>
    <col min="15867" max="15867" width="3.5546875" style="204" customWidth="1"/>
    <col min="15868" max="15869" width="1.77734375" style="204" customWidth="1"/>
    <col min="15870" max="15870" width="4" style="204" customWidth="1"/>
    <col min="15871" max="15871" width="24.21875" style="204" customWidth="1"/>
    <col min="15872" max="15872" width="1.77734375" style="204" customWidth="1"/>
    <col min="15873" max="15874" width="8.21875" style="204" customWidth="1"/>
    <col min="15875" max="16121" width="7.109375" style="204"/>
    <col min="16122" max="16122" width="10.21875" style="204" customWidth="1"/>
    <col min="16123" max="16123" width="3.5546875" style="204" customWidth="1"/>
    <col min="16124" max="16125" width="1.77734375" style="204" customWidth="1"/>
    <col min="16126" max="16126" width="4" style="204" customWidth="1"/>
    <col min="16127" max="16127" width="24.21875" style="204" customWidth="1"/>
    <col min="16128" max="16128" width="1.77734375" style="204" customWidth="1"/>
    <col min="16129" max="16130" width="8.21875" style="204" customWidth="1"/>
    <col min="16131" max="16384" width="7.109375" style="204"/>
  </cols>
  <sheetData>
    <row r="1" spans="1:8" ht="14.25" customHeight="1">
      <c r="A1" s="784" t="s">
        <v>1037</v>
      </c>
      <c r="B1" s="784"/>
      <c r="C1" s="784"/>
      <c r="D1" s="784"/>
      <c r="E1" s="784"/>
      <c r="F1" s="784"/>
      <c r="G1" s="784"/>
      <c r="H1" s="784"/>
    </row>
    <row r="2" spans="1:8">
      <c r="A2" s="784" t="s">
        <v>979</v>
      </c>
      <c r="B2" s="784"/>
      <c r="C2" s="784"/>
      <c r="D2" s="784"/>
      <c r="E2" s="784"/>
      <c r="F2" s="784"/>
      <c r="G2" s="784"/>
      <c r="H2" s="784"/>
    </row>
    <row r="3" spans="1:8">
      <c r="A3" s="785" t="str">
        <f>'Act Att-H'!C7</f>
        <v>Cheyenne Light, Fuel &amp; Power</v>
      </c>
      <c r="B3" s="785"/>
      <c r="C3" s="785"/>
      <c r="D3" s="785"/>
      <c r="E3" s="785"/>
      <c r="F3" s="785"/>
      <c r="G3" s="785"/>
      <c r="H3" s="785"/>
    </row>
    <row r="4" spans="1:8">
      <c r="F4" s="2"/>
      <c r="H4" s="205" t="s">
        <v>673</v>
      </c>
    </row>
    <row r="5" spans="1:8">
      <c r="A5" s="216"/>
      <c r="B5" s="216"/>
      <c r="C5" s="216"/>
      <c r="D5" s="216"/>
      <c r="E5" s="216"/>
      <c r="F5" s="216"/>
      <c r="G5" s="216"/>
      <c r="H5" s="216"/>
    </row>
    <row r="6" spans="1:8" ht="60.75" customHeight="1">
      <c r="B6" s="127" t="s">
        <v>4</v>
      </c>
      <c r="C6" s="127" t="s">
        <v>1075</v>
      </c>
      <c r="D6" s="127" t="s">
        <v>191</v>
      </c>
      <c r="E6" s="229" t="s">
        <v>1101</v>
      </c>
      <c r="F6" s="229" t="s">
        <v>10</v>
      </c>
      <c r="G6" s="229" t="s">
        <v>1043</v>
      </c>
      <c r="H6" s="229" t="s">
        <v>1044</v>
      </c>
    </row>
    <row r="7" spans="1:8" ht="15" customHeight="1">
      <c r="B7" s="225"/>
      <c r="C7" s="230" t="s">
        <v>157</v>
      </c>
      <c r="D7" s="231" t="s">
        <v>158</v>
      </c>
      <c r="E7" s="231" t="s">
        <v>159</v>
      </c>
      <c r="F7" s="231" t="s">
        <v>160</v>
      </c>
      <c r="G7" s="231" t="s">
        <v>161</v>
      </c>
      <c r="H7" s="231" t="s">
        <v>162</v>
      </c>
    </row>
    <row r="8" spans="1:8">
      <c r="B8" s="206">
        <v>1</v>
      </c>
      <c r="C8" s="419" t="s">
        <v>1045</v>
      </c>
      <c r="D8" s="204" t="s">
        <v>1045</v>
      </c>
      <c r="E8" s="665">
        <v>43997.59</v>
      </c>
      <c r="F8" s="679" t="s">
        <v>11</v>
      </c>
      <c r="G8" s="680">
        <f>'Act Att-H'!$I$174</f>
        <v>0.94993800079121415</v>
      </c>
      <c r="H8" s="672">
        <f t="shared" ref="H8:H32" si="0">G8*E8</f>
        <v>41794.982684231516</v>
      </c>
    </row>
    <row r="9" spans="1:8" ht="15" customHeight="1">
      <c r="B9" s="206">
        <v>2</v>
      </c>
      <c r="C9" s="419" t="s">
        <v>1120</v>
      </c>
      <c r="D9" s="204" t="s">
        <v>1122</v>
      </c>
      <c r="E9" s="670">
        <v>56122.283461538449</v>
      </c>
      <c r="F9" s="679" t="s">
        <v>11</v>
      </c>
      <c r="G9" s="680">
        <f>'Act Att-H'!$I$174</f>
        <v>0.94993800079121415</v>
      </c>
      <c r="H9" s="673">
        <f t="shared" si="0"/>
        <v>53312.689751291655</v>
      </c>
    </row>
    <row r="10" spans="1:8" ht="15" customHeight="1">
      <c r="B10" s="206">
        <v>3</v>
      </c>
      <c r="C10" s="419" t="s">
        <v>1046</v>
      </c>
      <c r="D10" s="204" t="s">
        <v>1053</v>
      </c>
      <c r="E10" s="670">
        <v>4782.3965384615385</v>
      </c>
      <c r="F10" s="679" t="s">
        <v>100</v>
      </c>
      <c r="G10" s="680">
        <f>'Act Att-H'!$I$191</f>
        <v>7.0964263854582682E-2</v>
      </c>
      <c r="H10" s="673">
        <f t="shared" si="0"/>
        <v>339.37924981262751</v>
      </c>
    </row>
    <row r="11" spans="1:8" ht="15" customHeight="1">
      <c r="B11" s="206">
        <v>4</v>
      </c>
      <c r="C11" s="419" t="s">
        <v>1121</v>
      </c>
      <c r="D11" s="204" t="s">
        <v>1123</v>
      </c>
      <c r="E11" s="670">
        <v>3238.0284615384617</v>
      </c>
      <c r="F11" s="679" t="s">
        <v>100</v>
      </c>
      <c r="G11" s="680">
        <f>'Act Att-H'!$I$191</f>
        <v>7.0964263854582682E-2</v>
      </c>
      <c r="H11" s="673">
        <f t="shared" si="0"/>
        <v>229.78430611326382</v>
      </c>
    </row>
    <row r="12" spans="1:8" ht="15" customHeight="1">
      <c r="B12" s="206">
        <v>5</v>
      </c>
      <c r="C12" s="419" t="s">
        <v>1047</v>
      </c>
      <c r="D12" s="204" t="s">
        <v>1054</v>
      </c>
      <c r="E12" s="670">
        <v>2716.5819999999999</v>
      </c>
      <c r="F12" s="679" t="s">
        <v>100</v>
      </c>
      <c r="G12" s="680">
        <f>'Act Att-H'!$I$191</f>
        <v>7.0964263854582682E-2</v>
      </c>
      <c r="H12" s="673">
        <f t="shared" ref="H12:H22" si="1">G12*E12</f>
        <v>192.78024183060992</v>
      </c>
    </row>
    <row r="13" spans="1:8" ht="15" customHeight="1">
      <c r="B13" s="206">
        <v>6</v>
      </c>
      <c r="C13" s="419" t="s">
        <v>1048</v>
      </c>
      <c r="D13" s="204" t="s">
        <v>1055</v>
      </c>
      <c r="E13" s="670">
        <v>1914.3426153846156</v>
      </c>
      <c r="F13" s="679" t="s">
        <v>27</v>
      </c>
      <c r="G13" s="680">
        <v>0</v>
      </c>
      <c r="H13" s="673">
        <f t="shared" si="1"/>
        <v>0</v>
      </c>
    </row>
    <row r="14" spans="1:8" ht="15" customHeight="1">
      <c r="B14" s="206">
        <v>7</v>
      </c>
      <c r="C14" s="419" t="s">
        <v>1049</v>
      </c>
      <c r="D14" s="204" t="s">
        <v>1056</v>
      </c>
      <c r="E14" s="670">
        <v>117754.77050769229</v>
      </c>
      <c r="F14" s="679" t="s">
        <v>27</v>
      </c>
      <c r="G14" s="680">
        <v>0</v>
      </c>
      <c r="H14" s="673">
        <f t="shared" si="1"/>
        <v>0</v>
      </c>
    </row>
    <row r="15" spans="1:8" ht="15" customHeight="1">
      <c r="B15" s="206">
        <v>8</v>
      </c>
      <c r="C15" s="419" t="s">
        <v>1050</v>
      </c>
      <c r="D15" s="204" t="s">
        <v>1057</v>
      </c>
      <c r="E15" s="670">
        <v>159061.78564615388</v>
      </c>
      <c r="F15" s="679" t="s">
        <v>100</v>
      </c>
      <c r="G15" s="680">
        <f>'Act Att-H'!$I$191</f>
        <v>7.0964263854582682E-2</v>
      </c>
      <c r="H15" s="673">
        <f t="shared" si="1"/>
        <v>11287.702525774735</v>
      </c>
    </row>
    <row r="16" spans="1:8" ht="15" customHeight="1">
      <c r="B16" s="206">
        <v>9</v>
      </c>
      <c r="C16" s="419" t="s">
        <v>1051</v>
      </c>
      <c r="D16" s="204" t="s">
        <v>1058</v>
      </c>
      <c r="E16" s="670">
        <v>0</v>
      </c>
      <c r="F16" s="679" t="s">
        <v>100</v>
      </c>
      <c r="G16" s="680">
        <f>'Act Att-H'!$I$191</f>
        <v>7.0964263854582682E-2</v>
      </c>
      <c r="H16" s="673">
        <f t="shared" si="1"/>
        <v>0</v>
      </c>
    </row>
    <row r="17" spans="2:10">
      <c r="B17" s="206">
        <v>10</v>
      </c>
      <c r="C17" s="419" t="s">
        <v>1052</v>
      </c>
      <c r="D17" s="204" t="s">
        <v>1059</v>
      </c>
      <c r="E17" s="670">
        <v>692434.4615384615</v>
      </c>
      <c r="F17" s="679" t="s">
        <v>27</v>
      </c>
      <c r="G17" s="680">
        <v>0</v>
      </c>
      <c r="H17" s="673">
        <f t="shared" si="1"/>
        <v>0</v>
      </c>
    </row>
    <row r="18" spans="2:10">
      <c r="B18" s="206">
        <v>11</v>
      </c>
      <c r="C18" s="664" t="s">
        <v>1223</v>
      </c>
      <c r="D18" s="666" t="s">
        <v>1224</v>
      </c>
      <c r="E18" s="670">
        <v>25409.320769230773</v>
      </c>
      <c r="F18" s="669" t="s">
        <v>27</v>
      </c>
      <c r="G18" s="680">
        <f t="shared" ref="G18:G32" si="2">IF(F18=0,0, IF(F18="NA", NA, IF(F18="TP",TP, IF(F18="TE",TE,IF(F18="CE",CE,IF(F18="WS",WS,IF(F18="DA",DA, IF(F18="NP",NP))))))))</f>
        <v>0</v>
      </c>
      <c r="H18" s="673">
        <f t="shared" si="1"/>
        <v>0</v>
      </c>
    </row>
    <row r="19" spans="2:10">
      <c r="B19" s="206">
        <v>12</v>
      </c>
      <c r="C19" s="664" t="s">
        <v>1223</v>
      </c>
      <c r="D19" s="666" t="s">
        <v>1225</v>
      </c>
      <c r="E19" s="670">
        <v>773.74615384615367</v>
      </c>
      <c r="F19" s="669" t="s">
        <v>27</v>
      </c>
      <c r="G19" s="680">
        <f t="shared" si="2"/>
        <v>0</v>
      </c>
      <c r="H19" s="673">
        <f t="shared" si="1"/>
        <v>0</v>
      </c>
    </row>
    <row r="20" spans="2:10">
      <c r="B20" s="206">
        <v>13</v>
      </c>
      <c r="C20" s="664" t="s">
        <v>1223</v>
      </c>
      <c r="D20" s="666" t="s">
        <v>1226</v>
      </c>
      <c r="E20" s="670">
        <v>854.00538461538463</v>
      </c>
      <c r="F20" s="669" t="s">
        <v>27</v>
      </c>
      <c r="G20" s="680">
        <f t="shared" si="2"/>
        <v>0</v>
      </c>
      <c r="H20" s="673">
        <f t="shared" si="1"/>
        <v>0</v>
      </c>
    </row>
    <row r="21" spans="2:10">
      <c r="B21" s="206">
        <v>14</v>
      </c>
      <c r="C21" s="664" t="s">
        <v>1227</v>
      </c>
      <c r="D21" s="666" t="s">
        <v>1228</v>
      </c>
      <c r="E21" s="670">
        <v>9615.3846153846134</v>
      </c>
      <c r="F21" s="669" t="s">
        <v>27</v>
      </c>
      <c r="G21" s="680">
        <f t="shared" si="2"/>
        <v>0</v>
      </c>
      <c r="H21" s="673">
        <f t="shared" si="1"/>
        <v>0</v>
      </c>
    </row>
    <row r="22" spans="2:10">
      <c r="B22" s="206">
        <v>15</v>
      </c>
      <c r="C22" s="664" t="s">
        <v>1235</v>
      </c>
      <c r="D22" s="666" t="s">
        <v>1237</v>
      </c>
      <c r="E22" s="670">
        <v>89245.538461538468</v>
      </c>
      <c r="F22" s="669" t="s">
        <v>27</v>
      </c>
      <c r="G22" s="680">
        <f t="shared" si="2"/>
        <v>0</v>
      </c>
      <c r="H22" s="673">
        <f t="shared" si="1"/>
        <v>0</v>
      </c>
      <c r="J22" s="226"/>
    </row>
    <row r="23" spans="2:10">
      <c r="B23" s="206">
        <v>16</v>
      </c>
      <c r="C23" s="664" t="s">
        <v>1236</v>
      </c>
      <c r="D23" s="666" t="s">
        <v>1238</v>
      </c>
      <c r="E23" s="670">
        <v>2778.7692307692309</v>
      </c>
      <c r="F23" s="669" t="s">
        <v>27</v>
      </c>
      <c r="G23" s="680">
        <f t="shared" si="2"/>
        <v>0</v>
      </c>
      <c r="H23" s="673">
        <f t="shared" si="0"/>
        <v>0</v>
      </c>
    </row>
    <row r="24" spans="2:10">
      <c r="B24" s="206">
        <v>17</v>
      </c>
      <c r="C24" s="664"/>
      <c r="D24" s="666"/>
      <c r="E24" s="670">
        <v>0</v>
      </c>
      <c r="F24" s="669"/>
      <c r="G24" s="680">
        <f t="shared" si="2"/>
        <v>0</v>
      </c>
      <c r="H24" s="673">
        <f t="shared" si="0"/>
        <v>0</v>
      </c>
    </row>
    <row r="25" spans="2:10">
      <c r="B25" s="206">
        <v>18</v>
      </c>
      <c r="C25" s="664"/>
      <c r="D25" s="666"/>
      <c r="E25" s="670">
        <v>0</v>
      </c>
      <c r="F25" s="669"/>
      <c r="G25" s="680">
        <f t="shared" si="2"/>
        <v>0</v>
      </c>
      <c r="H25" s="673">
        <f t="shared" si="0"/>
        <v>0</v>
      </c>
    </row>
    <row r="26" spans="2:10">
      <c r="B26" s="206">
        <v>19</v>
      </c>
      <c r="C26" s="664"/>
      <c r="D26" s="666"/>
      <c r="E26" s="670">
        <v>0</v>
      </c>
      <c r="F26" s="669"/>
      <c r="G26" s="680">
        <f t="shared" si="2"/>
        <v>0</v>
      </c>
      <c r="H26" s="673">
        <f t="shared" si="0"/>
        <v>0</v>
      </c>
    </row>
    <row r="27" spans="2:10">
      <c r="B27" s="206">
        <v>20</v>
      </c>
      <c r="C27" s="664"/>
      <c r="D27" s="666"/>
      <c r="E27" s="670">
        <v>0</v>
      </c>
      <c r="F27" s="669"/>
      <c r="G27" s="680">
        <f t="shared" si="2"/>
        <v>0</v>
      </c>
      <c r="H27" s="673">
        <f t="shared" si="0"/>
        <v>0</v>
      </c>
      <c r="J27" s="226"/>
    </row>
    <row r="28" spans="2:10">
      <c r="B28" s="206">
        <v>21</v>
      </c>
      <c r="C28" s="664"/>
      <c r="D28" s="666"/>
      <c r="E28" s="670">
        <v>0</v>
      </c>
      <c r="F28" s="669"/>
      <c r="G28" s="680">
        <f t="shared" si="2"/>
        <v>0</v>
      </c>
      <c r="H28" s="673">
        <f t="shared" si="0"/>
        <v>0</v>
      </c>
      <c r="I28" s="226"/>
    </row>
    <row r="29" spans="2:10">
      <c r="B29" s="206">
        <v>22</v>
      </c>
      <c r="C29" s="664"/>
      <c r="D29" s="666"/>
      <c r="E29" s="670">
        <v>0</v>
      </c>
      <c r="F29" s="669"/>
      <c r="G29" s="680">
        <f t="shared" si="2"/>
        <v>0</v>
      </c>
      <c r="H29" s="673">
        <f t="shared" si="0"/>
        <v>0</v>
      </c>
      <c r="I29" s="226"/>
    </row>
    <row r="30" spans="2:10">
      <c r="B30" s="206">
        <v>23</v>
      </c>
      <c r="C30" s="664"/>
      <c r="D30" s="666"/>
      <c r="E30" s="670">
        <v>0</v>
      </c>
      <c r="F30" s="669"/>
      <c r="G30" s="680">
        <f t="shared" si="2"/>
        <v>0</v>
      </c>
      <c r="H30" s="673">
        <f t="shared" si="0"/>
        <v>0</v>
      </c>
      <c r="I30" s="226"/>
    </row>
    <row r="31" spans="2:10">
      <c r="B31" s="206">
        <v>24</v>
      </c>
      <c r="C31" s="664"/>
      <c r="D31" s="666"/>
      <c r="E31" s="670">
        <v>0</v>
      </c>
      <c r="F31" s="669"/>
      <c r="G31" s="680">
        <f t="shared" si="2"/>
        <v>0</v>
      </c>
      <c r="H31" s="673">
        <f t="shared" si="0"/>
        <v>0</v>
      </c>
      <c r="I31" s="226"/>
    </row>
    <row r="32" spans="2:10">
      <c r="B32" s="206">
        <v>25</v>
      </c>
      <c r="C32" s="664"/>
      <c r="D32" s="666"/>
      <c r="E32" s="670">
        <v>0</v>
      </c>
      <c r="F32" s="669"/>
      <c r="G32" s="680">
        <f t="shared" si="2"/>
        <v>0</v>
      </c>
      <c r="H32" s="673">
        <f t="shared" si="0"/>
        <v>0</v>
      </c>
      <c r="I32" s="226"/>
    </row>
    <row r="33" spans="2:9">
      <c r="B33" s="206">
        <v>26</v>
      </c>
      <c r="C33" s="309" t="s">
        <v>9</v>
      </c>
      <c r="D33" s="309" t="s">
        <v>636</v>
      </c>
      <c r="E33" s="435">
        <f>SUM(E8:E32)</f>
        <v>1210699.0053846154</v>
      </c>
      <c r="F33" s="667"/>
      <c r="G33" s="671"/>
      <c r="H33" s="668">
        <f>SUM(H8:H32)</f>
        <v>107157.3187590544</v>
      </c>
      <c r="I33" s="226"/>
    </row>
    <row r="34" spans="2:9">
      <c r="B34" s="206">
        <v>27</v>
      </c>
      <c r="C34" s="204" t="s">
        <v>1108</v>
      </c>
      <c r="D34" s="755"/>
      <c r="E34" s="220">
        <f>'A4-Rate Base'!I70</f>
        <v>1210699.3076923077</v>
      </c>
      <c r="F34" s="690"/>
      <c r="G34" s="690"/>
      <c r="H34" s="690"/>
      <c r="I34" s="226"/>
    </row>
    <row r="35" spans="2:9">
      <c r="B35" s="206">
        <v>28</v>
      </c>
      <c r="C35" s="204" t="s">
        <v>1109</v>
      </c>
      <c r="D35" s="755"/>
      <c r="E35" s="435">
        <f>E34-E33</f>
        <v>0.30230769235640764</v>
      </c>
      <c r="F35" s="690"/>
      <c r="G35" s="690"/>
      <c r="H35" s="690"/>
      <c r="I35" s="226"/>
    </row>
    <row r="36" spans="2:9">
      <c r="B36" s="206"/>
      <c r="H36" s="226"/>
    </row>
    <row r="37" spans="2:9">
      <c r="B37" s="206"/>
      <c r="H37" s="226"/>
    </row>
    <row r="38" spans="2:9">
      <c r="B38" s="381" t="s">
        <v>174</v>
      </c>
      <c r="H38" s="226"/>
    </row>
    <row r="39" spans="2:9">
      <c r="B39" s="206" t="s">
        <v>79</v>
      </c>
      <c r="C39" s="204" t="s">
        <v>1060</v>
      </c>
      <c r="H39" s="226"/>
    </row>
    <row r="40" spans="2:9" ht="147" customHeight="1">
      <c r="B40" s="421" t="s">
        <v>80</v>
      </c>
      <c r="C40" s="796" t="s">
        <v>1173</v>
      </c>
      <c r="D40" s="796"/>
      <c r="E40" s="796"/>
      <c r="F40" s="796"/>
      <c r="G40" s="796"/>
      <c r="H40" s="796"/>
    </row>
    <row r="41" spans="2:9" ht="26.25" customHeight="1">
      <c r="B41" s="421" t="s">
        <v>81</v>
      </c>
      <c r="C41" s="796" t="s">
        <v>1110</v>
      </c>
      <c r="D41" s="796"/>
      <c r="E41" s="796"/>
      <c r="F41" s="796"/>
      <c r="G41" s="796"/>
      <c r="H41" s="796"/>
    </row>
    <row r="42" spans="2:9">
      <c r="B42" s="206"/>
    </row>
    <row r="43" spans="2:9">
      <c r="B43" s="206"/>
      <c r="C43" s="594"/>
    </row>
  </sheetData>
  <mergeCells count="5">
    <mergeCell ref="C41:H41"/>
    <mergeCell ref="A1:H1"/>
    <mergeCell ref="A2:H2"/>
    <mergeCell ref="A3:H3"/>
    <mergeCell ref="C40:H40"/>
  </mergeCells>
  <printOptions horizontalCentered="1"/>
  <pageMargins left="0.75" right="0.75" top="1" bottom="1" header="0.5" footer="0.5"/>
  <pageSetup scale="80" orientation="portrait" r:id="rId1"/>
  <headerFooter alignWithMargins="0"/>
  <ignoredErrors>
    <ignoredError sqref="H23:H32 G8:G11 H8:H11 H18:H22 G18:G32"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39997558519241921"/>
    <pageSetUpPr fitToPage="1"/>
  </sheetPr>
  <dimension ref="A1:H23"/>
  <sheetViews>
    <sheetView workbookViewId="0">
      <selection sqref="A1:H1"/>
    </sheetView>
  </sheetViews>
  <sheetFormatPr defaultColWidth="7.109375" defaultRowHeight="12.75"/>
  <cols>
    <col min="1" max="1" width="2.109375" style="204" customWidth="1"/>
    <col min="2" max="2" width="4.77734375" style="204" customWidth="1"/>
    <col min="3" max="3" width="27.77734375" style="204" customWidth="1"/>
    <col min="4" max="5" width="8.21875" style="204" bestFit="1" customWidth="1"/>
    <col min="6" max="6" width="7.77734375" style="204" customWidth="1"/>
    <col min="7" max="7" width="7" style="204" customWidth="1"/>
    <col min="8" max="8" width="9.21875" style="215" customWidth="1"/>
    <col min="9" max="9" width="8.21875" style="204" customWidth="1"/>
    <col min="10" max="249" width="7.109375" style="204"/>
    <col min="250" max="250" width="10.21875" style="204" customWidth="1"/>
    <col min="251" max="251" width="3.5546875" style="204" customWidth="1"/>
    <col min="252" max="253" width="1.77734375" style="204" customWidth="1"/>
    <col min="254" max="254" width="4" style="204" customWidth="1"/>
    <col min="255" max="255" width="24.21875" style="204" customWidth="1"/>
    <col min="256" max="256" width="1.77734375" style="204" customWidth="1"/>
    <col min="257" max="258" width="8.21875" style="204" customWidth="1"/>
    <col min="259" max="505" width="7.109375" style="204"/>
    <col min="506" max="506" width="10.21875" style="204" customWidth="1"/>
    <col min="507" max="507" width="3.5546875" style="204" customWidth="1"/>
    <col min="508" max="509" width="1.77734375" style="204" customWidth="1"/>
    <col min="510" max="510" width="4" style="204" customWidth="1"/>
    <col min="511" max="511" width="24.21875" style="204" customWidth="1"/>
    <col min="512" max="512" width="1.77734375" style="204" customWidth="1"/>
    <col min="513" max="514" width="8.21875" style="204" customWidth="1"/>
    <col min="515" max="761" width="7.109375" style="204"/>
    <col min="762" max="762" width="10.21875" style="204" customWidth="1"/>
    <col min="763" max="763" width="3.5546875" style="204" customWidth="1"/>
    <col min="764" max="765" width="1.77734375" style="204" customWidth="1"/>
    <col min="766" max="766" width="4" style="204" customWidth="1"/>
    <col min="767" max="767" width="24.21875" style="204" customWidth="1"/>
    <col min="768" max="768" width="1.77734375" style="204" customWidth="1"/>
    <col min="769" max="770" width="8.21875" style="204" customWidth="1"/>
    <col min="771" max="1017" width="7.109375" style="204"/>
    <col min="1018" max="1018" width="10.21875" style="204" customWidth="1"/>
    <col min="1019" max="1019" width="3.5546875" style="204" customWidth="1"/>
    <col min="1020" max="1021" width="1.77734375" style="204" customWidth="1"/>
    <col min="1022" max="1022" width="4" style="204" customWidth="1"/>
    <col min="1023" max="1023" width="24.21875" style="204" customWidth="1"/>
    <col min="1024" max="1024" width="1.77734375" style="204" customWidth="1"/>
    <col min="1025" max="1026" width="8.21875" style="204" customWidth="1"/>
    <col min="1027" max="1273" width="7.109375" style="204"/>
    <col min="1274" max="1274" width="10.21875" style="204" customWidth="1"/>
    <col min="1275" max="1275" width="3.5546875" style="204" customWidth="1"/>
    <col min="1276" max="1277" width="1.77734375" style="204" customWidth="1"/>
    <col min="1278" max="1278" width="4" style="204" customWidth="1"/>
    <col min="1279" max="1279" width="24.21875" style="204" customWidth="1"/>
    <col min="1280" max="1280" width="1.77734375" style="204" customWidth="1"/>
    <col min="1281" max="1282" width="8.21875" style="204" customWidth="1"/>
    <col min="1283" max="1529" width="7.109375" style="204"/>
    <col min="1530" max="1530" width="10.21875" style="204" customWidth="1"/>
    <col min="1531" max="1531" width="3.5546875" style="204" customWidth="1"/>
    <col min="1532" max="1533" width="1.77734375" style="204" customWidth="1"/>
    <col min="1534" max="1534" width="4" style="204" customWidth="1"/>
    <col min="1535" max="1535" width="24.21875" style="204" customWidth="1"/>
    <col min="1536" max="1536" width="1.77734375" style="204" customWidth="1"/>
    <col min="1537" max="1538" width="8.21875" style="204" customWidth="1"/>
    <col min="1539" max="1785" width="7.109375" style="204"/>
    <col min="1786" max="1786" width="10.21875" style="204" customWidth="1"/>
    <col min="1787" max="1787" width="3.5546875" style="204" customWidth="1"/>
    <col min="1788" max="1789" width="1.77734375" style="204" customWidth="1"/>
    <col min="1790" max="1790" width="4" style="204" customWidth="1"/>
    <col min="1791" max="1791" width="24.21875" style="204" customWidth="1"/>
    <col min="1792" max="1792" width="1.77734375" style="204" customWidth="1"/>
    <col min="1793" max="1794" width="8.21875" style="204" customWidth="1"/>
    <col min="1795" max="2041" width="7.109375" style="204"/>
    <col min="2042" max="2042" width="10.21875" style="204" customWidth="1"/>
    <col min="2043" max="2043" width="3.5546875" style="204" customWidth="1"/>
    <col min="2044" max="2045" width="1.77734375" style="204" customWidth="1"/>
    <col min="2046" max="2046" width="4" style="204" customWidth="1"/>
    <col min="2047" max="2047" width="24.21875" style="204" customWidth="1"/>
    <col min="2048" max="2048" width="1.77734375" style="204" customWidth="1"/>
    <col min="2049" max="2050" width="8.21875" style="204" customWidth="1"/>
    <col min="2051" max="2297" width="7.109375" style="204"/>
    <col min="2298" max="2298" width="10.21875" style="204" customWidth="1"/>
    <col min="2299" max="2299" width="3.5546875" style="204" customWidth="1"/>
    <col min="2300" max="2301" width="1.77734375" style="204" customWidth="1"/>
    <col min="2302" max="2302" width="4" style="204" customWidth="1"/>
    <col min="2303" max="2303" width="24.21875" style="204" customWidth="1"/>
    <col min="2304" max="2304" width="1.77734375" style="204" customWidth="1"/>
    <col min="2305" max="2306" width="8.21875" style="204" customWidth="1"/>
    <col min="2307" max="2553" width="7.109375" style="204"/>
    <col min="2554" max="2554" width="10.21875" style="204" customWidth="1"/>
    <col min="2555" max="2555" width="3.5546875" style="204" customWidth="1"/>
    <col min="2556" max="2557" width="1.77734375" style="204" customWidth="1"/>
    <col min="2558" max="2558" width="4" style="204" customWidth="1"/>
    <col min="2559" max="2559" width="24.21875" style="204" customWidth="1"/>
    <col min="2560" max="2560" width="1.77734375" style="204" customWidth="1"/>
    <col min="2561" max="2562" width="8.21875" style="204" customWidth="1"/>
    <col min="2563" max="2809" width="7.109375" style="204"/>
    <col min="2810" max="2810" width="10.21875" style="204" customWidth="1"/>
    <col min="2811" max="2811" width="3.5546875" style="204" customWidth="1"/>
    <col min="2812" max="2813" width="1.77734375" style="204" customWidth="1"/>
    <col min="2814" max="2814" width="4" style="204" customWidth="1"/>
    <col min="2815" max="2815" width="24.21875" style="204" customWidth="1"/>
    <col min="2816" max="2816" width="1.77734375" style="204" customWidth="1"/>
    <col min="2817" max="2818" width="8.21875" style="204" customWidth="1"/>
    <col min="2819" max="3065" width="7.109375" style="204"/>
    <col min="3066" max="3066" width="10.21875" style="204" customWidth="1"/>
    <col min="3067" max="3067" width="3.5546875" style="204" customWidth="1"/>
    <col min="3068" max="3069" width="1.77734375" style="204" customWidth="1"/>
    <col min="3070" max="3070" width="4" style="204" customWidth="1"/>
    <col min="3071" max="3071" width="24.21875" style="204" customWidth="1"/>
    <col min="3072" max="3072" width="1.77734375" style="204" customWidth="1"/>
    <col min="3073" max="3074" width="8.21875" style="204" customWidth="1"/>
    <col min="3075" max="3321" width="7.109375" style="204"/>
    <col min="3322" max="3322" width="10.21875" style="204" customWidth="1"/>
    <col min="3323" max="3323" width="3.5546875" style="204" customWidth="1"/>
    <col min="3324" max="3325" width="1.77734375" style="204" customWidth="1"/>
    <col min="3326" max="3326" width="4" style="204" customWidth="1"/>
    <col min="3327" max="3327" width="24.21875" style="204" customWidth="1"/>
    <col min="3328" max="3328" width="1.77734375" style="204" customWidth="1"/>
    <col min="3329" max="3330" width="8.21875" style="204" customWidth="1"/>
    <col min="3331" max="3577" width="7.109375" style="204"/>
    <col min="3578" max="3578" width="10.21875" style="204" customWidth="1"/>
    <col min="3579" max="3579" width="3.5546875" style="204" customWidth="1"/>
    <col min="3580" max="3581" width="1.77734375" style="204" customWidth="1"/>
    <col min="3582" max="3582" width="4" style="204" customWidth="1"/>
    <col min="3583" max="3583" width="24.21875" style="204" customWidth="1"/>
    <col min="3584" max="3584" width="1.77734375" style="204" customWidth="1"/>
    <col min="3585" max="3586" width="8.21875" style="204" customWidth="1"/>
    <col min="3587" max="3833" width="7.109375" style="204"/>
    <col min="3834" max="3834" width="10.21875" style="204" customWidth="1"/>
    <col min="3835" max="3835" width="3.5546875" style="204" customWidth="1"/>
    <col min="3836" max="3837" width="1.77734375" style="204" customWidth="1"/>
    <col min="3838" max="3838" width="4" style="204" customWidth="1"/>
    <col min="3839" max="3839" width="24.21875" style="204" customWidth="1"/>
    <col min="3840" max="3840" width="1.77734375" style="204" customWidth="1"/>
    <col min="3841" max="3842" width="8.21875" style="204" customWidth="1"/>
    <col min="3843" max="4089" width="7.109375" style="204"/>
    <col min="4090" max="4090" width="10.21875" style="204" customWidth="1"/>
    <col min="4091" max="4091" width="3.5546875" style="204" customWidth="1"/>
    <col min="4092" max="4093" width="1.77734375" style="204" customWidth="1"/>
    <col min="4094" max="4094" width="4" style="204" customWidth="1"/>
    <col min="4095" max="4095" width="24.21875" style="204" customWidth="1"/>
    <col min="4096" max="4096" width="1.77734375" style="204" customWidth="1"/>
    <col min="4097" max="4098" width="8.21875" style="204" customWidth="1"/>
    <col min="4099" max="4345" width="7.109375" style="204"/>
    <col min="4346" max="4346" width="10.21875" style="204" customWidth="1"/>
    <col min="4347" max="4347" width="3.5546875" style="204" customWidth="1"/>
    <col min="4348" max="4349" width="1.77734375" style="204" customWidth="1"/>
    <col min="4350" max="4350" width="4" style="204" customWidth="1"/>
    <col min="4351" max="4351" width="24.21875" style="204" customWidth="1"/>
    <col min="4352" max="4352" width="1.77734375" style="204" customWidth="1"/>
    <col min="4353" max="4354" width="8.21875" style="204" customWidth="1"/>
    <col min="4355" max="4601" width="7.109375" style="204"/>
    <col min="4602" max="4602" width="10.21875" style="204" customWidth="1"/>
    <col min="4603" max="4603" width="3.5546875" style="204" customWidth="1"/>
    <col min="4604" max="4605" width="1.77734375" style="204" customWidth="1"/>
    <col min="4606" max="4606" width="4" style="204" customWidth="1"/>
    <col min="4607" max="4607" width="24.21875" style="204" customWidth="1"/>
    <col min="4608" max="4608" width="1.77734375" style="204" customWidth="1"/>
    <col min="4609" max="4610" width="8.21875" style="204" customWidth="1"/>
    <col min="4611" max="4857" width="7.109375" style="204"/>
    <col min="4858" max="4858" width="10.21875" style="204" customWidth="1"/>
    <col min="4859" max="4859" width="3.5546875" style="204" customWidth="1"/>
    <col min="4860" max="4861" width="1.77734375" style="204" customWidth="1"/>
    <col min="4862" max="4862" width="4" style="204" customWidth="1"/>
    <col min="4863" max="4863" width="24.21875" style="204" customWidth="1"/>
    <col min="4864" max="4864" width="1.77734375" style="204" customWidth="1"/>
    <col min="4865" max="4866" width="8.21875" style="204" customWidth="1"/>
    <col min="4867" max="5113" width="7.109375" style="204"/>
    <col min="5114" max="5114" width="10.21875" style="204" customWidth="1"/>
    <col min="5115" max="5115" width="3.5546875" style="204" customWidth="1"/>
    <col min="5116" max="5117" width="1.77734375" style="204" customWidth="1"/>
    <col min="5118" max="5118" width="4" style="204" customWidth="1"/>
    <col min="5119" max="5119" width="24.21875" style="204" customWidth="1"/>
    <col min="5120" max="5120" width="1.77734375" style="204" customWidth="1"/>
    <col min="5121" max="5122" width="8.21875" style="204" customWidth="1"/>
    <col min="5123" max="5369" width="7.109375" style="204"/>
    <col min="5370" max="5370" width="10.21875" style="204" customWidth="1"/>
    <col min="5371" max="5371" width="3.5546875" style="204" customWidth="1"/>
    <col min="5372" max="5373" width="1.77734375" style="204" customWidth="1"/>
    <col min="5374" max="5374" width="4" style="204" customWidth="1"/>
    <col min="5375" max="5375" width="24.21875" style="204" customWidth="1"/>
    <col min="5376" max="5376" width="1.77734375" style="204" customWidth="1"/>
    <col min="5377" max="5378" width="8.21875" style="204" customWidth="1"/>
    <col min="5379" max="5625" width="7.109375" style="204"/>
    <col min="5626" max="5626" width="10.21875" style="204" customWidth="1"/>
    <col min="5627" max="5627" width="3.5546875" style="204" customWidth="1"/>
    <col min="5628" max="5629" width="1.77734375" style="204" customWidth="1"/>
    <col min="5630" max="5630" width="4" style="204" customWidth="1"/>
    <col min="5631" max="5631" width="24.21875" style="204" customWidth="1"/>
    <col min="5632" max="5632" width="1.77734375" style="204" customWidth="1"/>
    <col min="5633" max="5634" width="8.21875" style="204" customWidth="1"/>
    <col min="5635" max="5881" width="7.109375" style="204"/>
    <col min="5882" max="5882" width="10.21875" style="204" customWidth="1"/>
    <col min="5883" max="5883" width="3.5546875" style="204" customWidth="1"/>
    <col min="5884" max="5885" width="1.77734375" style="204" customWidth="1"/>
    <col min="5886" max="5886" width="4" style="204" customWidth="1"/>
    <col min="5887" max="5887" width="24.21875" style="204" customWidth="1"/>
    <col min="5888" max="5888" width="1.77734375" style="204" customWidth="1"/>
    <col min="5889" max="5890" width="8.21875" style="204" customWidth="1"/>
    <col min="5891" max="6137" width="7.109375" style="204"/>
    <col min="6138" max="6138" width="10.21875" style="204" customWidth="1"/>
    <col min="6139" max="6139" width="3.5546875" style="204" customWidth="1"/>
    <col min="6140" max="6141" width="1.77734375" style="204" customWidth="1"/>
    <col min="6142" max="6142" width="4" style="204" customWidth="1"/>
    <col min="6143" max="6143" width="24.21875" style="204" customWidth="1"/>
    <col min="6144" max="6144" width="1.77734375" style="204" customWidth="1"/>
    <col min="6145" max="6146" width="8.21875" style="204" customWidth="1"/>
    <col min="6147" max="6393" width="7.109375" style="204"/>
    <col min="6394" max="6394" width="10.21875" style="204" customWidth="1"/>
    <col min="6395" max="6395" width="3.5546875" style="204" customWidth="1"/>
    <col min="6396" max="6397" width="1.77734375" style="204" customWidth="1"/>
    <col min="6398" max="6398" width="4" style="204" customWidth="1"/>
    <col min="6399" max="6399" width="24.21875" style="204" customWidth="1"/>
    <col min="6400" max="6400" width="1.77734375" style="204" customWidth="1"/>
    <col min="6401" max="6402" width="8.21875" style="204" customWidth="1"/>
    <col min="6403" max="6649" width="7.109375" style="204"/>
    <col min="6650" max="6650" width="10.21875" style="204" customWidth="1"/>
    <col min="6651" max="6651" width="3.5546875" style="204" customWidth="1"/>
    <col min="6652" max="6653" width="1.77734375" style="204" customWidth="1"/>
    <col min="6654" max="6654" width="4" style="204" customWidth="1"/>
    <col min="6655" max="6655" width="24.21875" style="204" customWidth="1"/>
    <col min="6656" max="6656" width="1.77734375" style="204" customWidth="1"/>
    <col min="6657" max="6658" width="8.21875" style="204" customWidth="1"/>
    <col min="6659" max="6905" width="7.109375" style="204"/>
    <col min="6906" max="6906" width="10.21875" style="204" customWidth="1"/>
    <col min="6907" max="6907" width="3.5546875" style="204" customWidth="1"/>
    <col min="6908" max="6909" width="1.77734375" style="204" customWidth="1"/>
    <col min="6910" max="6910" width="4" style="204" customWidth="1"/>
    <col min="6911" max="6911" width="24.21875" style="204" customWidth="1"/>
    <col min="6912" max="6912" width="1.77734375" style="204" customWidth="1"/>
    <col min="6913" max="6914" width="8.21875" style="204" customWidth="1"/>
    <col min="6915" max="7161" width="7.109375" style="204"/>
    <col min="7162" max="7162" width="10.21875" style="204" customWidth="1"/>
    <col min="7163" max="7163" width="3.5546875" style="204" customWidth="1"/>
    <col min="7164" max="7165" width="1.77734375" style="204" customWidth="1"/>
    <col min="7166" max="7166" width="4" style="204" customWidth="1"/>
    <col min="7167" max="7167" width="24.21875" style="204" customWidth="1"/>
    <col min="7168" max="7168" width="1.77734375" style="204" customWidth="1"/>
    <col min="7169" max="7170" width="8.21875" style="204" customWidth="1"/>
    <col min="7171" max="7417" width="7.109375" style="204"/>
    <col min="7418" max="7418" width="10.21875" style="204" customWidth="1"/>
    <col min="7419" max="7419" width="3.5546875" style="204" customWidth="1"/>
    <col min="7420" max="7421" width="1.77734375" style="204" customWidth="1"/>
    <col min="7422" max="7422" width="4" style="204" customWidth="1"/>
    <col min="7423" max="7423" width="24.21875" style="204" customWidth="1"/>
    <col min="7424" max="7424" width="1.77734375" style="204" customWidth="1"/>
    <col min="7425" max="7426" width="8.21875" style="204" customWidth="1"/>
    <col min="7427" max="7673" width="7.109375" style="204"/>
    <col min="7674" max="7674" width="10.21875" style="204" customWidth="1"/>
    <col min="7675" max="7675" width="3.5546875" style="204" customWidth="1"/>
    <col min="7676" max="7677" width="1.77734375" style="204" customWidth="1"/>
    <col min="7678" max="7678" width="4" style="204" customWidth="1"/>
    <col min="7679" max="7679" width="24.21875" style="204" customWidth="1"/>
    <col min="7680" max="7680" width="1.77734375" style="204" customWidth="1"/>
    <col min="7681" max="7682" width="8.21875" style="204" customWidth="1"/>
    <col min="7683" max="7929" width="7.109375" style="204"/>
    <col min="7930" max="7930" width="10.21875" style="204" customWidth="1"/>
    <col min="7931" max="7931" width="3.5546875" style="204" customWidth="1"/>
    <col min="7932" max="7933" width="1.77734375" style="204" customWidth="1"/>
    <col min="7934" max="7934" width="4" style="204" customWidth="1"/>
    <col min="7935" max="7935" width="24.21875" style="204" customWidth="1"/>
    <col min="7936" max="7936" width="1.77734375" style="204" customWidth="1"/>
    <col min="7937" max="7938" width="8.21875" style="204" customWidth="1"/>
    <col min="7939" max="8185" width="7.109375" style="204"/>
    <col min="8186" max="8186" width="10.21875" style="204" customWidth="1"/>
    <col min="8187" max="8187" width="3.5546875" style="204" customWidth="1"/>
    <col min="8188" max="8189" width="1.77734375" style="204" customWidth="1"/>
    <col min="8190" max="8190" width="4" style="204" customWidth="1"/>
    <col min="8191" max="8191" width="24.21875" style="204" customWidth="1"/>
    <col min="8192" max="8192" width="1.77734375" style="204" customWidth="1"/>
    <col min="8193" max="8194" width="8.21875" style="204" customWidth="1"/>
    <col min="8195" max="8441" width="7.109375" style="204"/>
    <col min="8442" max="8442" width="10.21875" style="204" customWidth="1"/>
    <col min="8443" max="8443" width="3.5546875" style="204" customWidth="1"/>
    <col min="8444" max="8445" width="1.77734375" style="204" customWidth="1"/>
    <col min="8446" max="8446" width="4" style="204" customWidth="1"/>
    <col min="8447" max="8447" width="24.21875" style="204" customWidth="1"/>
    <col min="8448" max="8448" width="1.77734375" style="204" customWidth="1"/>
    <col min="8449" max="8450" width="8.21875" style="204" customWidth="1"/>
    <col min="8451" max="8697" width="7.109375" style="204"/>
    <col min="8698" max="8698" width="10.21875" style="204" customWidth="1"/>
    <col min="8699" max="8699" width="3.5546875" style="204" customWidth="1"/>
    <col min="8700" max="8701" width="1.77734375" style="204" customWidth="1"/>
    <col min="8702" max="8702" width="4" style="204" customWidth="1"/>
    <col min="8703" max="8703" width="24.21875" style="204" customWidth="1"/>
    <col min="8704" max="8704" width="1.77734375" style="204" customWidth="1"/>
    <col min="8705" max="8706" width="8.21875" style="204" customWidth="1"/>
    <col min="8707" max="8953" width="7.109375" style="204"/>
    <col min="8954" max="8954" width="10.21875" style="204" customWidth="1"/>
    <col min="8955" max="8955" width="3.5546875" style="204" customWidth="1"/>
    <col min="8956" max="8957" width="1.77734375" style="204" customWidth="1"/>
    <col min="8958" max="8958" width="4" style="204" customWidth="1"/>
    <col min="8959" max="8959" width="24.21875" style="204" customWidth="1"/>
    <col min="8960" max="8960" width="1.77734375" style="204" customWidth="1"/>
    <col min="8961" max="8962" width="8.21875" style="204" customWidth="1"/>
    <col min="8963" max="9209" width="7.109375" style="204"/>
    <col min="9210" max="9210" width="10.21875" style="204" customWidth="1"/>
    <col min="9211" max="9211" width="3.5546875" style="204" customWidth="1"/>
    <col min="9212" max="9213" width="1.77734375" style="204" customWidth="1"/>
    <col min="9214" max="9214" width="4" style="204" customWidth="1"/>
    <col min="9215" max="9215" width="24.21875" style="204" customWidth="1"/>
    <col min="9216" max="9216" width="1.77734375" style="204" customWidth="1"/>
    <col min="9217" max="9218" width="8.21875" style="204" customWidth="1"/>
    <col min="9219" max="9465" width="7.109375" style="204"/>
    <col min="9466" max="9466" width="10.21875" style="204" customWidth="1"/>
    <col min="9467" max="9467" width="3.5546875" style="204" customWidth="1"/>
    <col min="9468" max="9469" width="1.77734375" style="204" customWidth="1"/>
    <col min="9470" max="9470" width="4" style="204" customWidth="1"/>
    <col min="9471" max="9471" width="24.21875" style="204" customWidth="1"/>
    <col min="9472" max="9472" width="1.77734375" style="204" customWidth="1"/>
    <col min="9473" max="9474" width="8.21875" style="204" customWidth="1"/>
    <col min="9475" max="9721" width="7.109375" style="204"/>
    <col min="9722" max="9722" width="10.21875" style="204" customWidth="1"/>
    <col min="9723" max="9723" width="3.5546875" style="204" customWidth="1"/>
    <col min="9724" max="9725" width="1.77734375" style="204" customWidth="1"/>
    <col min="9726" max="9726" width="4" style="204" customWidth="1"/>
    <col min="9727" max="9727" width="24.21875" style="204" customWidth="1"/>
    <col min="9728" max="9728" width="1.77734375" style="204" customWidth="1"/>
    <col min="9729" max="9730" width="8.21875" style="204" customWidth="1"/>
    <col min="9731" max="9977" width="7.109375" style="204"/>
    <col min="9978" max="9978" width="10.21875" style="204" customWidth="1"/>
    <col min="9979" max="9979" width="3.5546875" style="204" customWidth="1"/>
    <col min="9980" max="9981" width="1.77734375" style="204" customWidth="1"/>
    <col min="9982" max="9982" width="4" style="204" customWidth="1"/>
    <col min="9983" max="9983" width="24.21875" style="204" customWidth="1"/>
    <col min="9984" max="9984" width="1.77734375" style="204" customWidth="1"/>
    <col min="9985" max="9986" width="8.21875" style="204" customWidth="1"/>
    <col min="9987" max="10233" width="7.109375" style="204"/>
    <col min="10234" max="10234" width="10.21875" style="204" customWidth="1"/>
    <col min="10235" max="10235" width="3.5546875" style="204" customWidth="1"/>
    <col min="10236" max="10237" width="1.77734375" style="204" customWidth="1"/>
    <col min="10238" max="10238" width="4" style="204" customWidth="1"/>
    <col min="10239" max="10239" width="24.21875" style="204" customWidth="1"/>
    <col min="10240" max="10240" width="1.77734375" style="204" customWidth="1"/>
    <col min="10241" max="10242" width="8.21875" style="204" customWidth="1"/>
    <col min="10243" max="10489" width="7.109375" style="204"/>
    <col min="10490" max="10490" width="10.21875" style="204" customWidth="1"/>
    <col min="10491" max="10491" width="3.5546875" style="204" customWidth="1"/>
    <col min="10492" max="10493" width="1.77734375" style="204" customWidth="1"/>
    <col min="10494" max="10494" width="4" style="204" customWidth="1"/>
    <col min="10495" max="10495" width="24.21875" style="204" customWidth="1"/>
    <col min="10496" max="10496" width="1.77734375" style="204" customWidth="1"/>
    <col min="10497" max="10498" width="8.21875" style="204" customWidth="1"/>
    <col min="10499" max="10745" width="7.109375" style="204"/>
    <col min="10746" max="10746" width="10.21875" style="204" customWidth="1"/>
    <col min="10747" max="10747" width="3.5546875" style="204" customWidth="1"/>
    <col min="10748" max="10749" width="1.77734375" style="204" customWidth="1"/>
    <col min="10750" max="10750" width="4" style="204" customWidth="1"/>
    <col min="10751" max="10751" width="24.21875" style="204" customWidth="1"/>
    <col min="10752" max="10752" width="1.77734375" style="204" customWidth="1"/>
    <col min="10753" max="10754" width="8.21875" style="204" customWidth="1"/>
    <col min="10755" max="11001" width="7.109375" style="204"/>
    <col min="11002" max="11002" width="10.21875" style="204" customWidth="1"/>
    <col min="11003" max="11003" width="3.5546875" style="204" customWidth="1"/>
    <col min="11004" max="11005" width="1.77734375" style="204" customWidth="1"/>
    <col min="11006" max="11006" width="4" style="204" customWidth="1"/>
    <col min="11007" max="11007" width="24.21875" style="204" customWidth="1"/>
    <col min="11008" max="11008" width="1.77734375" style="204" customWidth="1"/>
    <col min="11009" max="11010" width="8.21875" style="204" customWidth="1"/>
    <col min="11011" max="11257" width="7.109375" style="204"/>
    <col min="11258" max="11258" width="10.21875" style="204" customWidth="1"/>
    <col min="11259" max="11259" width="3.5546875" style="204" customWidth="1"/>
    <col min="11260" max="11261" width="1.77734375" style="204" customWidth="1"/>
    <col min="11262" max="11262" width="4" style="204" customWidth="1"/>
    <col min="11263" max="11263" width="24.21875" style="204" customWidth="1"/>
    <col min="11264" max="11264" width="1.77734375" style="204" customWidth="1"/>
    <col min="11265" max="11266" width="8.21875" style="204" customWidth="1"/>
    <col min="11267" max="11513" width="7.109375" style="204"/>
    <col min="11514" max="11514" width="10.21875" style="204" customWidth="1"/>
    <col min="11515" max="11515" width="3.5546875" style="204" customWidth="1"/>
    <col min="11516" max="11517" width="1.77734375" style="204" customWidth="1"/>
    <col min="11518" max="11518" width="4" style="204" customWidth="1"/>
    <col min="11519" max="11519" width="24.21875" style="204" customWidth="1"/>
    <col min="11520" max="11520" width="1.77734375" style="204" customWidth="1"/>
    <col min="11521" max="11522" width="8.21875" style="204" customWidth="1"/>
    <col min="11523" max="11769" width="7.109375" style="204"/>
    <col min="11770" max="11770" width="10.21875" style="204" customWidth="1"/>
    <col min="11771" max="11771" width="3.5546875" style="204" customWidth="1"/>
    <col min="11772" max="11773" width="1.77734375" style="204" customWidth="1"/>
    <col min="11774" max="11774" width="4" style="204" customWidth="1"/>
    <col min="11775" max="11775" width="24.21875" style="204" customWidth="1"/>
    <col min="11776" max="11776" width="1.77734375" style="204" customWidth="1"/>
    <col min="11777" max="11778" width="8.21875" style="204" customWidth="1"/>
    <col min="11779" max="12025" width="7.109375" style="204"/>
    <col min="12026" max="12026" width="10.21875" style="204" customWidth="1"/>
    <col min="12027" max="12027" width="3.5546875" style="204" customWidth="1"/>
    <col min="12028" max="12029" width="1.77734375" style="204" customWidth="1"/>
    <col min="12030" max="12030" width="4" style="204" customWidth="1"/>
    <col min="12031" max="12031" width="24.21875" style="204" customWidth="1"/>
    <col min="12032" max="12032" width="1.77734375" style="204" customWidth="1"/>
    <col min="12033" max="12034" width="8.21875" style="204" customWidth="1"/>
    <col min="12035" max="12281" width="7.109375" style="204"/>
    <col min="12282" max="12282" width="10.21875" style="204" customWidth="1"/>
    <col min="12283" max="12283" width="3.5546875" style="204" customWidth="1"/>
    <col min="12284" max="12285" width="1.77734375" style="204" customWidth="1"/>
    <col min="12286" max="12286" width="4" style="204" customWidth="1"/>
    <col min="12287" max="12287" width="24.21875" style="204" customWidth="1"/>
    <col min="12288" max="12288" width="1.77734375" style="204" customWidth="1"/>
    <col min="12289" max="12290" width="8.21875" style="204" customWidth="1"/>
    <col min="12291" max="12537" width="7.109375" style="204"/>
    <col min="12538" max="12538" width="10.21875" style="204" customWidth="1"/>
    <col min="12539" max="12539" width="3.5546875" style="204" customWidth="1"/>
    <col min="12540" max="12541" width="1.77734375" style="204" customWidth="1"/>
    <col min="12542" max="12542" width="4" style="204" customWidth="1"/>
    <col min="12543" max="12543" width="24.21875" style="204" customWidth="1"/>
    <col min="12544" max="12544" width="1.77734375" style="204" customWidth="1"/>
    <col min="12545" max="12546" width="8.21875" style="204" customWidth="1"/>
    <col min="12547" max="12793" width="7.109375" style="204"/>
    <col min="12794" max="12794" width="10.21875" style="204" customWidth="1"/>
    <col min="12795" max="12795" width="3.5546875" style="204" customWidth="1"/>
    <col min="12796" max="12797" width="1.77734375" style="204" customWidth="1"/>
    <col min="12798" max="12798" width="4" style="204" customWidth="1"/>
    <col min="12799" max="12799" width="24.21875" style="204" customWidth="1"/>
    <col min="12800" max="12800" width="1.77734375" style="204" customWidth="1"/>
    <col min="12801" max="12802" width="8.21875" style="204" customWidth="1"/>
    <col min="12803" max="13049" width="7.109375" style="204"/>
    <col min="13050" max="13050" width="10.21875" style="204" customWidth="1"/>
    <col min="13051" max="13051" width="3.5546875" style="204" customWidth="1"/>
    <col min="13052" max="13053" width="1.77734375" style="204" customWidth="1"/>
    <col min="13054" max="13054" width="4" style="204" customWidth="1"/>
    <col min="13055" max="13055" width="24.21875" style="204" customWidth="1"/>
    <col min="13056" max="13056" width="1.77734375" style="204" customWidth="1"/>
    <col min="13057" max="13058" width="8.21875" style="204" customWidth="1"/>
    <col min="13059" max="13305" width="7.109375" style="204"/>
    <col min="13306" max="13306" width="10.21875" style="204" customWidth="1"/>
    <col min="13307" max="13307" width="3.5546875" style="204" customWidth="1"/>
    <col min="13308" max="13309" width="1.77734375" style="204" customWidth="1"/>
    <col min="13310" max="13310" width="4" style="204" customWidth="1"/>
    <col min="13311" max="13311" width="24.21875" style="204" customWidth="1"/>
    <col min="13312" max="13312" width="1.77734375" style="204" customWidth="1"/>
    <col min="13313" max="13314" width="8.21875" style="204" customWidth="1"/>
    <col min="13315" max="13561" width="7.109375" style="204"/>
    <col min="13562" max="13562" width="10.21875" style="204" customWidth="1"/>
    <col min="13563" max="13563" width="3.5546875" style="204" customWidth="1"/>
    <col min="13564" max="13565" width="1.77734375" style="204" customWidth="1"/>
    <col min="13566" max="13566" width="4" style="204" customWidth="1"/>
    <col min="13567" max="13567" width="24.21875" style="204" customWidth="1"/>
    <col min="13568" max="13568" width="1.77734375" style="204" customWidth="1"/>
    <col min="13569" max="13570" width="8.21875" style="204" customWidth="1"/>
    <col min="13571" max="13817" width="7.109375" style="204"/>
    <col min="13818" max="13818" width="10.21875" style="204" customWidth="1"/>
    <col min="13819" max="13819" width="3.5546875" style="204" customWidth="1"/>
    <col min="13820" max="13821" width="1.77734375" style="204" customWidth="1"/>
    <col min="13822" max="13822" width="4" style="204" customWidth="1"/>
    <col min="13823" max="13823" width="24.21875" style="204" customWidth="1"/>
    <col min="13824" max="13824" width="1.77734375" style="204" customWidth="1"/>
    <col min="13825" max="13826" width="8.21875" style="204" customWidth="1"/>
    <col min="13827" max="14073" width="7.109375" style="204"/>
    <col min="14074" max="14074" width="10.21875" style="204" customWidth="1"/>
    <col min="14075" max="14075" width="3.5546875" style="204" customWidth="1"/>
    <col min="14076" max="14077" width="1.77734375" style="204" customWidth="1"/>
    <col min="14078" max="14078" width="4" style="204" customWidth="1"/>
    <col min="14079" max="14079" width="24.21875" style="204" customWidth="1"/>
    <col min="14080" max="14080" width="1.77734375" style="204" customWidth="1"/>
    <col min="14081" max="14082" width="8.21875" style="204" customWidth="1"/>
    <col min="14083" max="14329" width="7.109375" style="204"/>
    <col min="14330" max="14330" width="10.21875" style="204" customWidth="1"/>
    <col min="14331" max="14331" width="3.5546875" style="204" customWidth="1"/>
    <col min="14332" max="14333" width="1.77734375" style="204" customWidth="1"/>
    <col min="14334" max="14334" width="4" style="204" customWidth="1"/>
    <col min="14335" max="14335" width="24.21875" style="204" customWidth="1"/>
    <col min="14336" max="14336" width="1.77734375" style="204" customWidth="1"/>
    <col min="14337" max="14338" width="8.21875" style="204" customWidth="1"/>
    <col min="14339" max="14585" width="7.109375" style="204"/>
    <col min="14586" max="14586" width="10.21875" style="204" customWidth="1"/>
    <col min="14587" max="14587" width="3.5546875" style="204" customWidth="1"/>
    <col min="14588" max="14589" width="1.77734375" style="204" customWidth="1"/>
    <col min="14590" max="14590" width="4" style="204" customWidth="1"/>
    <col min="14591" max="14591" width="24.21875" style="204" customWidth="1"/>
    <col min="14592" max="14592" width="1.77734375" style="204" customWidth="1"/>
    <col min="14593" max="14594" width="8.21875" style="204" customWidth="1"/>
    <col min="14595" max="14841" width="7.109375" style="204"/>
    <col min="14842" max="14842" width="10.21875" style="204" customWidth="1"/>
    <col min="14843" max="14843" width="3.5546875" style="204" customWidth="1"/>
    <col min="14844" max="14845" width="1.77734375" style="204" customWidth="1"/>
    <col min="14846" max="14846" width="4" style="204" customWidth="1"/>
    <col min="14847" max="14847" width="24.21875" style="204" customWidth="1"/>
    <col min="14848" max="14848" width="1.77734375" style="204" customWidth="1"/>
    <col min="14849" max="14850" width="8.21875" style="204" customWidth="1"/>
    <col min="14851" max="15097" width="7.109375" style="204"/>
    <col min="15098" max="15098" width="10.21875" style="204" customWidth="1"/>
    <col min="15099" max="15099" width="3.5546875" style="204" customWidth="1"/>
    <col min="15100" max="15101" width="1.77734375" style="204" customWidth="1"/>
    <col min="15102" max="15102" width="4" style="204" customWidth="1"/>
    <col min="15103" max="15103" width="24.21875" style="204" customWidth="1"/>
    <col min="15104" max="15104" width="1.77734375" style="204" customWidth="1"/>
    <col min="15105" max="15106" width="8.21875" style="204" customWidth="1"/>
    <col min="15107" max="15353" width="7.109375" style="204"/>
    <col min="15354" max="15354" width="10.21875" style="204" customWidth="1"/>
    <col min="15355" max="15355" width="3.5546875" style="204" customWidth="1"/>
    <col min="15356" max="15357" width="1.77734375" style="204" customWidth="1"/>
    <col min="15358" max="15358" width="4" style="204" customWidth="1"/>
    <col min="15359" max="15359" width="24.21875" style="204" customWidth="1"/>
    <col min="15360" max="15360" width="1.77734375" style="204" customWidth="1"/>
    <col min="15361" max="15362" width="8.21875" style="204" customWidth="1"/>
    <col min="15363" max="15609" width="7.109375" style="204"/>
    <col min="15610" max="15610" width="10.21875" style="204" customWidth="1"/>
    <col min="15611" max="15611" width="3.5546875" style="204" customWidth="1"/>
    <col min="15612" max="15613" width="1.77734375" style="204" customWidth="1"/>
    <col min="15614" max="15614" width="4" style="204" customWidth="1"/>
    <col min="15615" max="15615" width="24.21875" style="204" customWidth="1"/>
    <col min="15616" max="15616" width="1.77734375" style="204" customWidth="1"/>
    <col min="15617" max="15618" width="8.21875" style="204" customWidth="1"/>
    <col min="15619" max="15865" width="7.109375" style="204"/>
    <col min="15866" max="15866" width="10.21875" style="204" customWidth="1"/>
    <col min="15867" max="15867" width="3.5546875" style="204" customWidth="1"/>
    <col min="15868" max="15869" width="1.77734375" style="204" customWidth="1"/>
    <col min="15870" max="15870" width="4" style="204" customWidth="1"/>
    <col min="15871" max="15871" width="24.21875" style="204" customWidth="1"/>
    <col min="15872" max="15872" width="1.77734375" style="204" customWidth="1"/>
    <col min="15873" max="15874" width="8.21875" style="204" customWidth="1"/>
    <col min="15875" max="16121" width="7.109375" style="204"/>
    <col min="16122" max="16122" width="10.21875" style="204" customWidth="1"/>
    <col min="16123" max="16123" width="3.5546875" style="204" customWidth="1"/>
    <col min="16124" max="16125" width="1.77734375" style="204" customWidth="1"/>
    <col min="16126" max="16126" width="4" style="204" customWidth="1"/>
    <col min="16127" max="16127" width="24.21875" style="204" customWidth="1"/>
    <col min="16128" max="16128" width="1.77734375" style="204" customWidth="1"/>
    <col min="16129" max="16130" width="8.21875" style="204" customWidth="1"/>
    <col min="16131" max="16384" width="7.109375" style="204"/>
  </cols>
  <sheetData>
    <row r="1" spans="1:8" ht="14.25" customHeight="1">
      <c r="A1" s="784" t="s">
        <v>1038</v>
      </c>
      <c r="B1" s="784"/>
      <c r="C1" s="784"/>
      <c r="D1" s="784"/>
      <c r="E1" s="784"/>
      <c r="F1" s="784"/>
      <c r="G1" s="784"/>
      <c r="H1" s="784"/>
    </row>
    <row r="2" spans="1:8">
      <c r="A2" s="784" t="s">
        <v>1039</v>
      </c>
      <c r="B2" s="784"/>
      <c r="C2" s="784"/>
      <c r="D2" s="784"/>
      <c r="E2" s="784"/>
      <c r="F2" s="784"/>
      <c r="G2" s="784"/>
      <c r="H2" s="784"/>
    </row>
    <row r="3" spans="1:8">
      <c r="A3" s="785" t="str">
        <f>'Act Att-H'!C7</f>
        <v>Cheyenne Light, Fuel &amp; Power</v>
      </c>
      <c r="B3" s="785"/>
      <c r="C3" s="785"/>
      <c r="D3" s="785"/>
      <c r="E3" s="785"/>
      <c r="F3" s="785"/>
      <c r="G3" s="785"/>
      <c r="H3" s="785"/>
    </row>
    <row r="4" spans="1:8">
      <c r="F4" s="2"/>
      <c r="H4" s="205" t="s">
        <v>673</v>
      </c>
    </row>
    <row r="5" spans="1:8">
      <c r="A5" s="216"/>
      <c r="B5" s="216"/>
      <c r="C5" s="216"/>
      <c r="D5" s="216"/>
      <c r="E5" s="216"/>
      <c r="F5" s="216"/>
      <c r="G5" s="216"/>
      <c r="H5" s="216"/>
    </row>
    <row r="6" spans="1:8" ht="60.75" customHeight="1">
      <c r="B6" s="127" t="s">
        <v>4</v>
      </c>
      <c r="C6" s="229" t="s">
        <v>478</v>
      </c>
      <c r="D6" s="229" t="s">
        <v>1042</v>
      </c>
      <c r="E6" s="229" t="s">
        <v>10</v>
      </c>
      <c r="F6" s="229" t="s">
        <v>1043</v>
      </c>
      <c r="G6" s="229" t="s">
        <v>1044</v>
      </c>
      <c r="H6" s="204"/>
    </row>
    <row r="7" spans="1:8" ht="15" customHeight="1">
      <c r="B7" s="225"/>
      <c r="C7" s="230" t="s">
        <v>157</v>
      </c>
      <c r="D7" s="231" t="s">
        <v>158</v>
      </c>
      <c r="E7" s="231" t="s">
        <v>159</v>
      </c>
      <c r="F7" s="231" t="s">
        <v>160</v>
      </c>
      <c r="G7" s="231" t="s">
        <v>161</v>
      </c>
      <c r="H7" s="204"/>
    </row>
    <row r="8" spans="1:8" ht="15" customHeight="1">
      <c r="B8" s="206">
        <v>1</v>
      </c>
      <c r="C8" s="419" t="s">
        <v>1061</v>
      </c>
      <c r="D8" s="665">
        <v>12233</v>
      </c>
      <c r="E8" s="679" t="s">
        <v>100</v>
      </c>
      <c r="F8" s="680">
        <f t="shared" ref="F8:F13" si="0">IF(E8=0,0, IF(E8="NA", NA, IF(E8="TP",TP, IF(E8="TE",TE,IF(E8="CE",CE,IF(E8="WS",WS,IF(E8="DA",DA, IF(E8="GP",GP))))))))</f>
        <v>7.0964263854582682E-2</v>
      </c>
      <c r="G8" s="672">
        <f t="shared" ref="G8:G16" si="1">F8*D8</f>
        <v>868.10583973310997</v>
      </c>
      <c r="H8" s="204"/>
    </row>
    <row r="9" spans="1:8" ht="15" customHeight="1">
      <c r="B9" s="206">
        <v>2</v>
      </c>
      <c r="C9" s="419" t="s">
        <v>1062</v>
      </c>
      <c r="D9" s="670">
        <v>1997</v>
      </c>
      <c r="E9" s="679" t="s">
        <v>27</v>
      </c>
      <c r="F9" s="680">
        <f t="shared" si="0"/>
        <v>0</v>
      </c>
      <c r="G9" s="673">
        <f t="shared" si="1"/>
        <v>0</v>
      </c>
      <c r="H9" s="204"/>
    </row>
    <row r="10" spans="1:8" ht="15" customHeight="1">
      <c r="B10" s="206">
        <v>3</v>
      </c>
      <c r="C10" s="419" t="s">
        <v>1063</v>
      </c>
      <c r="D10" s="670">
        <v>2951</v>
      </c>
      <c r="E10" s="679" t="s">
        <v>100</v>
      </c>
      <c r="F10" s="680">
        <f t="shared" si="0"/>
        <v>7.0964263854582682E-2</v>
      </c>
      <c r="G10" s="673">
        <f t="shared" si="1"/>
        <v>209.4155426348735</v>
      </c>
      <c r="H10" s="204"/>
    </row>
    <row r="11" spans="1:8" ht="15" customHeight="1">
      <c r="B11" s="206">
        <v>4</v>
      </c>
      <c r="C11" s="419" t="s">
        <v>1064</v>
      </c>
      <c r="D11" s="670">
        <v>17</v>
      </c>
      <c r="E11" s="679" t="s">
        <v>27</v>
      </c>
      <c r="F11" s="680">
        <f t="shared" si="0"/>
        <v>0</v>
      </c>
      <c r="G11" s="673">
        <f t="shared" si="1"/>
        <v>0</v>
      </c>
      <c r="H11" s="204"/>
    </row>
    <row r="12" spans="1:8" ht="15" customHeight="1">
      <c r="B12" s="206">
        <v>5</v>
      </c>
      <c r="C12" s="419" t="s">
        <v>1073</v>
      </c>
      <c r="D12" s="670">
        <v>-22189</v>
      </c>
      <c r="E12" s="679" t="s">
        <v>100</v>
      </c>
      <c r="F12" s="680">
        <f t="shared" si="0"/>
        <v>7.0964263854582682E-2</v>
      </c>
      <c r="G12" s="673">
        <f t="shared" si="1"/>
        <v>-1574.6260506693352</v>
      </c>
      <c r="H12" s="204"/>
    </row>
    <row r="13" spans="1:8" ht="15" customHeight="1">
      <c r="B13" s="206">
        <v>6</v>
      </c>
      <c r="C13" s="419" t="s">
        <v>1065</v>
      </c>
      <c r="D13" s="670">
        <v>173343</v>
      </c>
      <c r="E13" s="679" t="s">
        <v>37</v>
      </c>
      <c r="F13" s="680">
        <f t="shared" si="0"/>
        <v>0.11784364581437545</v>
      </c>
      <c r="G13" s="673">
        <f t="shared" si="1"/>
        <v>20427.371096401283</v>
      </c>
      <c r="H13" s="204"/>
    </row>
    <row r="14" spans="1:8" ht="15" customHeight="1">
      <c r="B14" s="206">
        <v>7</v>
      </c>
      <c r="C14" s="419" t="s">
        <v>1163</v>
      </c>
      <c r="D14" s="670">
        <v>0</v>
      </c>
      <c r="E14" s="679" t="s">
        <v>100</v>
      </c>
      <c r="F14" s="680">
        <f t="shared" ref="F14:F16" si="2">IF(E14=0,0, IF(E14="NA", NA, IF(E14="TP",TP, IF(E14="TE",TE,IF(E14="CE",CE,IF(E14="WS",WS,IF(E14="DA",DA, IF(E14="GP",GP))))))))</f>
        <v>7.0964263854582682E-2</v>
      </c>
      <c r="G14" s="673">
        <f t="shared" si="1"/>
        <v>0</v>
      </c>
      <c r="H14" s="204"/>
    </row>
    <row r="15" spans="1:8" ht="15" customHeight="1">
      <c r="B15" s="206">
        <v>8</v>
      </c>
      <c r="C15" s="419" t="s">
        <v>1165</v>
      </c>
      <c r="D15" s="670">
        <v>0</v>
      </c>
      <c r="E15" s="679" t="s">
        <v>100</v>
      </c>
      <c r="F15" s="680">
        <f t="shared" si="2"/>
        <v>7.0964263854582682E-2</v>
      </c>
      <c r="G15" s="673">
        <f t="shared" si="1"/>
        <v>0</v>
      </c>
      <c r="H15" s="204"/>
    </row>
    <row r="16" spans="1:8" ht="15" customHeight="1">
      <c r="B16" s="206">
        <v>9</v>
      </c>
      <c r="C16" s="419" t="s">
        <v>1164</v>
      </c>
      <c r="D16" s="670">
        <v>0</v>
      </c>
      <c r="E16" s="679" t="s">
        <v>100</v>
      </c>
      <c r="F16" s="680">
        <f t="shared" si="2"/>
        <v>7.0964263854582682E-2</v>
      </c>
      <c r="G16" s="673">
        <f t="shared" si="1"/>
        <v>0</v>
      </c>
      <c r="H16" s="204"/>
    </row>
    <row r="17" spans="2:8">
      <c r="B17" s="206">
        <v>10</v>
      </c>
      <c r="C17" s="309" t="s">
        <v>9</v>
      </c>
      <c r="D17" s="667" t="s">
        <v>1111</v>
      </c>
      <c r="E17" s="667"/>
      <c r="F17" s="671"/>
      <c r="G17" s="674">
        <f>SUM(G8:G16)</f>
        <v>19930.266428099931</v>
      </c>
      <c r="H17" s="226"/>
    </row>
    <row r="18" spans="2:8">
      <c r="B18" s="206"/>
      <c r="H18" s="226"/>
    </row>
    <row r="19" spans="2:8">
      <c r="B19" s="206"/>
      <c r="H19" s="226"/>
    </row>
    <row r="20" spans="2:8">
      <c r="B20" s="381" t="s">
        <v>174</v>
      </c>
      <c r="H20" s="226"/>
    </row>
    <row r="21" spans="2:8">
      <c r="B21" s="206" t="s">
        <v>79</v>
      </c>
      <c r="C21" s="204" t="s">
        <v>1204</v>
      </c>
      <c r="H21" s="226"/>
    </row>
    <row r="22" spans="2:8">
      <c r="B22" s="206"/>
    </row>
    <row r="23" spans="2:8">
      <c r="B23" s="206"/>
      <c r="C23" s="594"/>
    </row>
  </sheetData>
  <mergeCells count="3">
    <mergeCell ref="A1:H1"/>
    <mergeCell ref="A2:H2"/>
    <mergeCell ref="A3:H3"/>
  </mergeCells>
  <printOptions horizontalCentered="1"/>
  <pageMargins left="0.75" right="0.75" top="1" bottom="1" header="0.5" footer="0.5"/>
  <pageSetup scale="99" orientation="portrait" r:id="rId1"/>
  <headerFooter alignWithMargins="0"/>
  <ignoredErrors>
    <ignoredError sqref="G8:G16"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99"/>
    <pageSetUpPr fitToPage="1"/>
  </sheetPr>
  <dimension ref="A1:I140"/>
  <sheetViews>
    <sheetView topLeftCell="A7" workbookViewId="0">
      <selection activeCell="H37" sqref="H37"/>
    </sheetView>
  </sheetViews>
  <sheetFormatPr defaultColWidth="7.109375" defaultRowHeight="12.75"/>
  <cols>
    <col min="1" max="1" width="5.21875" style="241" customWidth="1"/>
    <col min="2" max="2" width="5.5546875" style="241" customWidth="1"/>
    <col min="3" max="3" width="5.109375" style="241" customWidth="1"/>
    <col min="4" max="4" width="12.77734375" style="240" customWidth="1"/>
    <col min="5" max="5" width="22.77734375" style="240" customWidth="1"/>
    <col min="6" max="6" width="12.21875" style="240" customWidth="1"/>
    <col min="7" max="7" width="13.44140625" style="240" bestFit="1" customWidth="1"/>
    <col min="8" max="8" width="19.21875" style="240" customWidth="1"/>
    <col min="9" max="9" width="4.77734375" style="240" bestFit="1" customWidth="1"/>
    <col min="10" max="16384" width="7.109375" style="240"/>
  </cols>
  <sheetData>
    <row r="1" spans="1:9">
      <c r="A1" s="784" t="s">
        <v>312</v>
      </c>
      <c r="B1" s="784"/>
      <c r="C1" s="784"/>
      <c r="D1" s="784"/>
      <c r="E1" s="784"/>
      <c r="F1" s="784"/>
      <c r="G1" s="784"/>
      <c r="H1" s="784"/>
    </row>
    <row r="2" spans="1:9">
      <c r="A2" s="784" t="s">
        <v>552</v>
      </c>
      <c r="B2" s="784"/>
      <c r="C2" s="784"/>
      <c r="D2" s="784"/>
      <c r="E2" s="784"/>
      <c r="F2" s="784"/>
      <c r="G2" s="784"/>
      <c r="H2" s="784"/>
    </row>
    <row r="3" spans="1:9">
      <c r="A3" s="785" t="str">
        <f>'Act Att-H'!C7</f>
        <v>Cheyenne Light, Fuel &amp; Power</v>
      </c>
      <c r="B3" s="785"/>
      <c r="C3" s="785"/>
      <c r="D3" s="785"/>
      <c r="E3" s="785"/>
      <c r="F3" s="785"/>
      <c r="G3" s="785"/>
      <c r="H3" s="785"/>
    </row>
    <row r="4" spans="1:9">
      <c r="H4" s="242" t="s">
        <v>673</v>
      </c>
    </row>
    <row r="5" spans="1:9">
      <c r="A5" s="243" t="s">
        <v>266</v>
      </c>
    </row>
    <row r="6" spans="1:9">
      <c r="A6" s="663" t="s">
        <v>267</v>
      </c>
      <c r="B6" s="663" t="s">
        <v>268</v>
      </c>
      <c r="C6" s="663" t="s">
        <v>269</v>
      </c>
      <c r="D6" s="663" t="s">
        <v>270</v>
      </c>
      <c r="E6" s="241"/>
    </row>
    <row r="7" spans="1:9">
      <c r="A7" s="241">
        <v>1</v>
      </c>
      <c r="B7" s="241" t="s">
        <v>271</v>
      </c>
      <c r="C7" s="241" t="s">
        <v>272</v>
      </c>
      <c r="D7" s="244" t="s">
        <v>446</v>
      </c>
      <c r="E7" s="244"/>
    </row>
    <row r="8" spans="1:9">
      <c r="A8" s="241">
        <f>A7+1</f>
        <v>2</v>
      </c>
      <c r="B8" s="241" t="s">
        <v>271</v>
      </c>
      <c r="C8" s="241" t="s">
        <v>272</v>
      </c>
      <c r="D8" s="244" t="s">
        <v>273</v>
      </c>
      <c r="E8" s="244"/>
    </row>
    <row r="9" spans="1:9">
      <c r="A9" s="241">
        <f t="shared" ref="A9:A17" si="0">A8+1</f>
        <v>3</v>
      </c>
      <c r="B9" s="245" t="s">
        <v>274</v>
      </c>
      <c r="C9" s="241" t="s">
        <v>275</v>
      </c>
      <c r="D9" s="244" t="s">
        <v>276</v>
      </c>
      <c r="E9" s="244"/>
    </row>
    <row r="10" spans="1:9">
      <c r="A10" s="241">
        <f t="shared" si="0"/>
        <v>4</v>
      </c>
      <c r="B10" s="241" t="str">
        <f>+B7</f>
        <v>Oct</v>
      </c>
      <c r="C10" s="241" t="s">
        <v>275</v>
      </c>
      <c r="D10" s="244" t="s">
        <v>443</v>
      </c>
      <c r="E10" s="244"/>
    </row>
    <row r="11" spans="1:9">
      <c r="A11" s="241">
        <f t="shared" si="0"/>
        <v>5</v>
      </c>
      <c r="B11" s="241" t="s">
        <v>271</v>
      </c>
      <c r="C11" s="241" t="str">
        <f>C10</f>
        <v>Year 1</v>
      </c>
      <c r="D11" s="244" t="s">
        <v>277</v>
      </c>
      <c r="E11" s="244"/>
    </row>
    <row r="12" spans="1:9">
      <c r="A12" s="241">
        <f t="shared" si="0"/>
        <v>6</v>
      </c>
      <c r="B12" s="241" t="s">
        <v>274</v>
      </c>
      <c r="C12" s="241" t="s">
        <v>278</v>
      </c>
      <c r="D12" s="244" t="s">
        <v>279</v>
      </c>
      <c r="E12" s="244"/>
    </row>
    <row r="13" spans="1:9">
      <c r="A13" s="241">
        <f t="shared" si="0"/>
        <v>7</v>
      </c>
      <c r="B13" s="241" t="s">
        <v>280</v>
      </c>
      <c r="C13" s="241" t="s">
        <v>278</v>
      </c>
      <c r="D13" s="244" t="s">
        <v>444</v>
      </c>
      <c r="E13" s="246"/>
      <c r="F13" s="247"/>
      <c r="G13" s="247"/>
      <c r="H13" s="247"/>
      <c r="I13" s="247"/>
    </row>
    <row r="14" spans="1:9">
      <c r="A14" s="241">
        <f t="shared" si="0"/>
        <v>8</v>
      </c>
      <c r="B14" s="241" t="s">
        <v>280</v>
      </c>
      <c r="C14" s="241" t="s">
        <v>278</v>
      </c>
      <c r="D14" s="244" t="s">
        <v>281</v>
      </c>
      <c r="E14" s="244"/>
    </row>
    <row r="15" spans="1:9">
      <c r="A15" s="241">
        <f t="shared" si="0"/>
        <v>9</v>
      </c>
      <c r="B15" s="241" t="s">
        <v>280</v>
      </c>
      <c r="C15" s="241" t="s">
        <v>278</v>
      </c>
      <c r="D15" s="244" t="s">
        <v>282</v>
      </c>
    </row>
    <row r="16" spans="1:9">
      <c r="A16" s="241">
        <f t="shared" si="0"/>
        <v>10</v>
      </c>
      <c r="B16" s="241" t="s">
        <v>271</v>
      </c>
      <c r="C16" s="241" t="s">
        <v>278</v>
      </c>
      <c r="D16" s="244" t="s">
        <v>445</v>
      </c>
      <c r="E16" s="244"/>
    </row>
    <row r="17" spans="1:9">
      <c r="A17" s="241">
        <f t="shared" si="0"/>
        <v>11</v>
      </c>
      <c r="B17" s="241" t="s">
        <v>271</v>
      </c>
      <c r="C17" s="241" t="s">
        <v>278</v>
      </c>
      <c r="D17" s="244" t="s">
        <v>283</v>
      </c>
      <c r="E17" s="244"/>
    </row>
    <row r="18" spans="1:9">
      <c r="A18" s="240"/>
      <c r="B18" s="240"/>
      <c r="C18" s="240"/>
      <c r="E18" s="244"/>
    </row>
    <row r="19" spans="1:9">
      <c r="A19" s="240"/>
      <c r="B19" s="243" t="s">
        <v>809</v>
      </c>
    </row>
    <row r="20" spans="1:9" ht="12.75" customHeight="1" thickBot="1">
      <c r="A20" s="241">
        <f>A17+1</f>
        <v>12</v>
      </c>
      <c r="D20" s="247"/>
      <c r="E20" s="247"/>
      <c r="F20" s="247"/>
      <c r="H20" s="248" t="s">
        <v>284</v>
      </c>
      <c r="I20" s="247"/>
    </row>
    <row r="21" spans="1:9" ht="12.75" customHeight="1">
      <c r="A21" s="241">
        <f>A20+1</f>
        <v>13</v>
      </c>
      <c r="C21" s="240" t="s">
        <v>285</v>
      </c>
      <c r="E21" s="247"/>
      <c r="F21" s="249"/>
      <c r="H21" s="434">
        <f>'Act Att-H'!I19</f>
        <v>11072725.729044784</v>
      </c>
      <c r="I21" s="247"/>
    </row>
    <row r="22" spans="1:9">
      <c r="A22" s="241">
        <f t="shared" ref="A22:A23" si="1">A21+1</f>
        <v>14</v>
      </c>
      <c r="B22" s="251"/>
      <c r="C22" s="240" t="s">
        <v>820</v>
      </c>
      <c r="F22" s="250"/>
      <c r="H22" s="434">
        <v>14035830.289751969</v>
      </c>
      <c r="I22" s="247"/>
    </row>
    <row r="23" spans="1:9">
      <c r="A23" s="241">
        <f t="shared" si="1"/>
        <v>15</v>
      </c>
      <c r="C23" s="240" t="s">
        <v>1076</v>
      </c>
      <c r="F23" s="252" t="s">
        <v>782</v>
      </c>
      <c r="H23" s="401">
        <f>+H21-H22</f>
        <v>-2963104.5607071854</v>
      </c>
      <c r="I23" s="247"/>
    </row>
    <row r="24" spans="1:9">
      <c r="F24" s="252"/>
      <c r="I24" s="247"/>
    </row>
    <row r="25" spans="1:9">
      <c r="A25" s="240"/>
      <c r="B25" s="243" t="s">
        <v>810</v>
      </c>
    </row>
    <row r="26" spans="1:9" ht="12.75" customHeight="1" thickBot="1">
      <c r="A26" s="241">
        <f>A23+1</f>
        <v>16</v>
      </c>
      <c r="D26" s="247"/>
      <c r="E26" s="247"/>
      <c r="F26" s="247"/>
      <c r="H26" s="248" t="s">
        <v>284</v>
      </c>
      <c r="I26" s="247"/>
    </row>
    <row r="27" spans="1:9">
      <c r="A27" s="241">
        <f>A26+1</f>
        <v>17</v>
      </c>
      <c r="C27" s="240" t="s">
        <v>813</v>
      </c>
      <c r="E27" s="247"/>
      <c r="F27" s="249"/>
      <c r="H27" s="542">
        <f>'A6-Divisor'!E21</f>
        <v>267750</v>
      </c>
      <c r="I27" s="247" t="s">
        <v>812</v>
      </c>
    </row>
    <row r="28" spans="1:9">
      <c r="A28" s="241">
        <f t="shared" ref="A28:A33" si="2">A27+1</f>
        <v>18</v>
      </c>
      <c r="B28" s="251"/>
      <c r="C28" s="240" t="s">
        <v>821</v>
      </c>
      <c r="F28" s="250"/>
      <c r="H28" s="542">
        <v>238955.11850731215</v>
      </c>
      <c r="I28" s="247" t="s">
        <v>812</v>
      </c>
    </row>
    <row r="29" spans="1:9">
      <c r="A29" s="241">
        <f t="shared" si="2"/>
        <v>19</v>
      </c>
      <c r="C29" s="240" t="s">
        <v>958</v>
      </c>
      <c r="F29" s="252" t="s">
        <v>819</v>
      </c>
      <c r="H29" s="543">
        <f>H28-H27</f>
        <v>-28794.881492687855</v>
      </c>
      <c r="I29" s="247" t="s">
        <v>812</v>
      </c>
    </row>
    <row r="30" spans="1:9" ht="12.75" customHeight="1">
      <c r="A30" s="241">
        <f t="shared" si="2"/>
        <v>20</v>
      </c>
      <c r="C30" s="240"/>
      <c r="D30" s="247"/>
      <c r="E30" s="247"/>
      <c r="F30" s="252"/>
      <c r="H30" s="544"/>
      <c r="I30" s="247"/>
    </row>
    <row r="31" spans="1:9">
      <c r="A31" s="241">
        <f t="shared" si="2"/>
        <v>21</v>
      </c>
      <c r="C31" s="240" t="s">
        <v>822</v>
      </c>
      <c r="E31" s="247"/>
      <c r="F31" s="252" t="s">
        <v>814</v>
      </c>
      <c r="H31" s="544">
        <f>IF(H28=0,0,ROUND(H22/H28,6))</f>
        <v>58.738354000000001</v>
      </c>
      <c r="I31" s="247" t="s">
        <v>815</v>
      </c>
    </row>
    <row r="32" spans="1:9">
      <c r="A32" s="241">
        <f t="shared" si="2"/>
        <v>22</v>
      </c>
      <c r="B32" s="251"/>
      <c r="C32" s="240" t="s">
        <v>811</v>
      </c>
      <c r="F32" s="252" t="s">
        <v>832</v>
      </c>
      <c r="H32" s="401">
        <f>H29*H31</f>
        <v>-1691363.9425055478</v>
      </c>
      <c r="I32" s="247"/>
    </row>
    <row r="33" spans="1:9">
      <c r="A33" s="241">
        <f t="shared" si="2"/>
        <v>23</v>
      </c>
      <c r="C33" s="240"/>
      <c r="F33" s="252"/>
      <c r="H33" s="541"/>
      <c r="I33" s="247"/>
    </row>
    <row r="34" spans="1:9">
      <c r="B34" s="243" t="s">
        <v>1034</v>
      </c>
      <c r="C34" s="240"/>
      <c r="F34" s="252"/>
      <c r="H34" s="541"/>
      <c r="I34" s="247"/>
    </row>
    <row r="35" spans="1:9">
      <c r="A35" s="241" t="s">
        <v>375</v>
      </c>
      <c r="C35" s="240" t="s">
        <v>1036</v>
      </c>
      <c r="F35" s="252"/>
      <c r="H35" s="434">
        <v>0</v>
      </c>
      <c r="I35" s="247"/>
    </row>
    <row r="36" spans="1:9">
      <c r="C36" s="240"/>
      <c r="F36" s="252"/>
      <c r="H36" s="541"/>
      <c r="I36" s="247"/>
    </row>
    <row r="37" spans="1:9">
      <c r="A37" s="241">
        <f>A33+1</f>
        <v>24</v>
      </c>
      <c r="B37" s="240" t="s">
        <v>959</v>
      </c>
      <c r="C37" s="240"/>
      <c r="D37" s="244"/>
      <c r="E37" s="241"/>
      <c r="F37" s="247" t="s">
        <v>1035</v>
      </c>
      <c r="G37" s="247"/>
      <c r="H37" s="545">
        <f>H23+H32+H35</f>
        <v>-4654468.5032127332</v>
      </c>
      <c r="I37" s="247"/>
    </row>
    <row r="38" spans="1:9">
      <c r="C38" s="240"/>
      <c r="D38" s="244"/>
      <c r="E38" s="241"/>
      <c r="F38" s="247"/>
      <c r="G38" s="247"/>
      <c r="H38" s="247"/>
      <c r="I38" s="247"/>
    </row>
    <row r="39" spans="1:9">
      <c r="B39" s="243" t="s">
        <v>287</v>
      </c>
      <c r="D39" s="244"/>
      <c r="E39" s="241"/>
      <c r="F39" s="247"/>
      <c r="G39" s="247"/>
      <c r="H39" s="247"/>
      <c r="I39" s="247"/>
    </row>
    <row r="40" spans="1:9" ht="14.25" customHeight="1">
      <c r="D40" s="253" t="s">
        <v>288</v>
      </c>
      <c r="E40" s="254"/>
      <c r="F40" s="255"/>
      <c r="G40" s="247"/>
      <c r="H40" s="256" t="s">
        <v>289</v>
      </c>
      <c r="I40" s="247"/>
    </row>
    <row r="41" spans="1:9">
      <c r="A41" s="241">
        <f>A37+1</f>
        <v>25</v>
      </c>
      <c r="D41" s="244" t="s">
        <v>290</v>
      </c>
      <c r="E41" s="241"/>
      <c r="F41" s="247"/>
      <c r="H41" s="73">
        <v>1781056</v>
      </c>
      <c r="I41" s="257"/>
    </row>
    <row r="42" spans="1:9">
      <c r="A42" s="241">
        <f>A41+1</f>
        <v>26</v>
      </c>
      <c r="D42" s="244" t="s">
        <v>291</v>
      </c>
      <c r="E42" s="241"/>
      <c r="F42" s="247"/>
      <c r="H42" s="73">
        <v>14123166629</v>
      </c>
      <c r="I42" s="257"/>
    </row>
    <row r="43" spans="1:9">
      <c r="A43" s="241">
        <f>A42+1</f>
        <v>27</v>
      </c>
      <c r="D43" s="244" t="s">
        <v>292</v>
      </c>
      <c r="E43" s="241"/>
      <c r="F43" s="247"/>
      <c r="H43" s="73">
        <v>730</v>
      </c>
      <c r="I43" s="257"/>
    </row>
    <row r="44" spans="1:9">
      <c r="A44" s="241">
        <f>A43+1</f>
        <v>28</v>
      </c>
      <c r="D44" s="244" t="s">
        <v>293</v>
      </c>
      <c r="E44" s="241"/>
      <c r="F44" s="240" t="s">
        <v>833</v>
      </c>
      <c r="H44" s="258">
        <f>IF(H42*H43=0,0,H41/H42*H43/2)</f>
        <v>4.6029722446603298E-2</v>
      </c>
      <c r="I44" s="247"/>
    </row>
    <row r="45" spans="1:9">
      <c r="D45" s="244"/>
      <c r="E45" s="241"/>
      <c r="F45" s="247"/>
      <c r="H45" s="259"/>
      <c r="I45" s="247"/>
    </row>
    <row r="46" spans="1:9">
      <c r="D46" s="253" t="s">
        <v>553</v>
      </c>
      <c r="E46" s="260"/>
      <c r="F46" s="255"/>
      <c r="H46" s="261"/>
    </row>
    <row r="47" spans="1:9">
      <c r="A47" s="241">
        <f>A44+1</f>
        <v>29</v>
      </c>
      <c r="D47" s="244" t="s">
        <v>294</v>
      </c>
      <c r="F47" s="247"/>
      <c r="H47" s="262">
        <v>3.5999999999999997E-2</v>
      </c>
    </row>
    <row r="48" spans="1:9">
      <c r="A48" s="241">
        <f t="shared" ref="A48:A51" si="3">A47+1</f>
        <v>30</v>
      </c>
      <c r="D48" s="244" t="s">
        <v>295</v>
      </c>
      <c r="F48" s="247"/>
      <c r="H48" s="262">
        <v>4.9099999999999998E-2</v>
      </c>
    </row>
    <row r="49" spans="1:9">
      <c r="A49" s="241">
        <f t="shared" si="3"/>
        <v>31</v>
      </c>
      <c r="D49" s="244" t="s">
        <v>296</v>
      </c>
      <c r="F49" s="247"/>
      <c r="H49" s="262">
        <v>6.3100000000000003E-2</v>
      </c>
    </row>
    <row r="50" spans="1:9">
      <c r="A50" s="241">
        <f t="shared" si="3"/>
        <v>32</v>
      </c>
      <c r="D50" s="244" t="s">
        <v>297</v>
      </c>
      <c r="F50" s="247"/>
      <c r="H50" s="262">
        <v>7.4999999999999997E-2</v>
      </c>
    </row>
    <row r="51" spans="1:9">
      <c r="A51" s="241">
        <f t="shared" si="3"/>
        <v>33</v>
      </c>
      <c r="D51" s="244" t="s">
        <v>298</v>
      </c>
      <c r="E51" s="247"/>
      <c r="F51" s="247" t="s">
        <v>816</v>
      </c>
      <c r="H51" s="263">
        <f>IF(SUM(H47:H50)=0,0,AVERAGE(H47:H50))</f>
        <v>5.5800000000000002E-2</v>
      </c>
    </row>
    <row r="52" spans="1:9">
      <c r="D52" s="244"/>
      <c r="E52" s="247"/>
      <c r="F52" s="247"/>
      <c r="H52" s="264"/>
    </row>
    <row r="53" spans="1:9">
      <c r="A53" s="241">
        <f>A51+1</f>
        <v>34</v>
      </c>
      <c r="D53" s="244" t="s">
        <v>299</v>
      </c>
      <c r="E53" s="247"/>
      <c r="F53" s="247"/>
      <c r="H53" s="449">
        <f>IF(H23&lt;=0,$H51,MIN($H51,$H44))</f>
        <v>5.5800000000000002E-2</v>
      </c>
    </row>
    <row r="54" spans="1:9">
      <c r="D54" s="244"/>
      <c r="E54" s="247"/>
      <c r="F54" s="247"/>
      <c r="H54" s="265"/>
      <c r="I54" s="247"/>
    </row>
    <row r="55" spans="1:9" ht="15.75" customHeight="1" thickBot="1">
      <c r="D55" s="247"/>
      <c r="E55" s="247"/>
      <c r="F55" s="247"/>
      <c r="H55" s="248" t="s">
        <v>300</v>
      </c>
    </row>
    <row r="56" spans="1:9">
      <c r="A56" s="241">
        <f>A53+1</f>
        <v>35</v>
      </c>
      <c r="C56" s="240"/>
      <c r="D56" s="240" t="s">
        <v>960</v>
      </c>
      <c r="H56" s="266">
        <f>ROUND(+H37*12/12,0)</f>
        <v>-4654469</v>
      </c>
    </row>
    <row r="57" spans="1:9">
      <c r="A57" s="241">
        <f>A56+1</f>
        <v>36</v>
      </c>
      <c r="C57" s="240"/>
      <c r="D57" s="240" t="s">
        <v>783</v>
      </c>
      <c r="H57" s="267">
        <f>ROUND(H$53/12*(24)*H56,2)</f>
        <v>-519438.74</v>
      </c>
      <c r="I57" s="247"/>
    </row>
    <row r="58" spans="1:9">
      <c r="A58" s="241">
        <f>A57+1</f>
        <v>37</v>
      </c>
      <c r="C58" s="250"/>
      <c r="D58" s="243" t="s">
        <v>961</v>
      </c>
      <c r="E58" s="244"/>
      <c r="G58" s="241"/>
      <c r="H58" s="448">
        <f>SUM(H56:H57)</f>
        <v>-5173907.74</v>
      </c>
      <c r="I58" s="247"/>
    </row>
    <row r="59" spans="1:9">
      <c r="C59" s="250"/>
      <c r="D59" s="241"/>
      <c r="E59" s="244"/>
      <c r="G59" s="241"/>
      <c r="H59" s="268"/>
      <c r="I59" s="244"/>
    </row>
    <row r="60" spans="1:9">
      <c r="A60" s="241" t="s">
        <v>205</v>
      </c>
    </row>
    <row r="61" spans="1:9" s="683" customFormat="1" ht="15.75" customHeight="1">
      <c r="A61" s="269" t="s">
        <v>79</v>
      </c>
      <c r="B61" s="802" t="s">
        <v>447</v>
      </c>
      <c r="C61" s="802"/>
      <c r="D61" s="802"/>
      <c r="E61" s="802"/>
      <c r="F61" s="802"/>
      <c r="G61" s="802"/>
      <c r="H61" s="802"/>
    </row>
    <row r="62" spans="1:9" s="683" customFormat="1">
      <c r="A62" s="269" t="s">
        <v>80</v>
      </c>
      <c r="B62" s="802" t="s">
        <v>448</v>
      </c>
      <c r="C62" s="802"/>
      <c r="D62" s="802"/>
      <c r="E62" s="802"/>
      <c r="F62" s="802"/>
      <c r="G62" s="802"/>
      <c r="H62" s="802"/>
    </row>
    <row r="63" spans="1:9" s="683" customFormat="1">
      <c r="A63" s="269" t="s">
        <v>81</v>
      </c>
      <c r="B63" s="802" t="s">
        <v>301</v>
      </c>
      <c r="C63" s="802"/>
      <c r="D63" s="802"/>
      <c r="E63" s="802"/>
      <c r="F63" s="802"/>
      <c r="G63" s="802"/>
      <c r="H63" s="802"/>
    </row>
    <row r="64" spans="1:9" s="683" customFormat="1" ht="27" customHeight="1">
      <c r="A64" s="269" t="s">
        <v>82</v>
      </c>
      <c r="B64" s="801" t="s">
        <v>957</v>
      </c>
      <c r="C64" s="801"/>
      <c r="D64" s="801"/>
      <c r="E64" s="801"/>
      <c r="F64" s="801"/>
      <c r="G64" s="801"/>
      <c r="H64" s="801"/>
    </row>
    <row r="65" spans="1:8" s="683" customFormat="1" ht="14.25" customHeight="1">
      <c r="A65" s="269" t="s">
        <v>83</v>
      </c>
      <c r="B65" s="802" t="s">
        <v>302</v>
      </c>
      <c r="C65" s="802"/>
      <c r="D65" s="802"/>
      <c r="E65" s="802"/>
      <c r="F65" s="802"/>
      <c r="G65" s="802"/>
      <c r="H65" s="802"/>
    </row>
    <row r="66" spans="1:8" s="683" customFormat="1" ht="108.75" customHeight="1">
      <c r="A66" s="269" t="s">
        <v>84</v>
      </c>
      <c r="B66" s="801" t="s">
        <v>1081</v>
      </c>
      <c r="C66" s="801"/>
      <c r="D66" s="801"/>
      <c r="E66" s="801"/>
      <c r="F66" s="801"/>
      <c r="G66" s="801"/>
      <c r="H66" s="801"/>
    </row>
    <row r="67" spans="1:8">
      <c r="B67" s="240"/>
    </row>
    <row r="117" spans="3:7" ht="15.75">
      <c r="C117" s="270"/>
      <c r="D117" s="271"/>
      <c r="E117" s="271"/>
      <c r="F117" s="271"/>
      <c r="G117" s="271"/>
    </row>
    <row r="118" spans="3:7" ht="99.75" customHeight="1">
      <c r="C118" s="270"/>
      <c r="D118" s="271"/>
      <c r="E118" s="271"/>
      <c r="F118" s="271"/>
      <c r="G118" s="271"/>
    </row>
    <row r="119" spans="3:7" ht="15.75">
      <c r="C119" s="270"/>
      <c r="D119" s="271"/>
      <c r="E119" s="271"/>
      <c r="F119" s="271"/>
      <c r="G119" s="271"/>
    </row>
    <row r="120" spans="3:7" ht="15.75">
      <c r="C120" s="270"/>
      <c r="D120" s="271"/>
      <c r="E120" s="271"/>
      <c r="F120" s="271"/>
      <c r="G120" s="271"/>
    </row>
    <row r="121" spans="3:7" ht="15.75">
      <c r="C121" s="270"/>
      <c r="D121" s="271"/>
      <c r="E121" s="271"/>
      <c r="F121" s="271"/>
      <c r="G121" s="271"/>
    </row>
    <row r="122" spans="3:7" ht="15.75">
      <c r="C122" s="270"/>
      <c r="D122" s="271"/>
      <c r="E122" s="271"/>
      <c r="F122" s="271"/>
      <c r="G122" s="271"/>
    </row>
    <row r="123" spans="3:7" ht="15.75">
      <c r="C123" s="270"/>
      <c r="D123" s="271"/>
      <c r="E123" s="271"/>
      <c r="F123" s="271"/>
      <c r="G123" s="271"/>
    </row>
    <row r="124" spans="3:7" ht="15.75">
      <c r="C124" s="270"/>
      <c r="D124" s="271"/>
      <c r="E124" s="271"/>
      <c r="F124" s="271"/>
      <c r="G124" s="271"/>
    </row>
    <row r="125" spans="3:7" ht="15.75">
      <c r="C125" s="270"/>
      <c r="D125" s="271"/>
      <c r="E125" s="271"/>
      <c r="F125" s="271"/>
      <c r="G125" s="271"/>
    </row>
    <row r="126" spans="3:7" ht="15.75">
      <c r="C126" s="270"/>
      <c r="D126" s="271"/>
      <c r="E126" s="271"/>
      <c r="F126" s="271"/>
      <c r="G126" s="271"/>
    </row>
    <row r="127" spans="3:7" ht="15.75">
      <c r="C127" s="270"/>
      <c r="D127" s="271"/>
      <c r="E127" s="271"/>
      <c r="F127" s="271"/>
      <c r="G127" s="271"/>
    </row>
    <row r="128" spans="3:7" ht="15.75">
      <c r="C128" s="270"/>
      <c r="D128" s="271"/>
      <c r="E128" s="271"/>
      <c r="F128" s="271"/>
      <c r="G128" s="271"/>
    </row>
    <row r="129" spans="3:7" ht="15.75">
      <c r="C129" s="270"/>
      <c r="D129" s="271"/>
      <c r="E129" s="271"/>
      <c r="F129" s="271"/>
      <c r="G129" s="271"/>
    </row>
    <row r="130" spans="3:7" ht="15.75">
      <c r="C130" s="270"/>
      <c r="D130" s="271"/>
      <c r="E130" s="271"/>
      <c r="F130" s="271"/>
      <c r="G130" s="271"/>
    </row>
    <row r="131" spans="3:7" ht="15.75">
      <c r="C131" s="270"/>
      <c r="D131" s="271"/>
      <c r="E131" s="271"/>
      <c r="F131" s="271"/>
      <c r="G131" s="271"/>
    </row>
    <row r="132" spans="3:7" ht="15.75">
      <c r="C132" s="270"/>
      <c r="D132" s="271"/>
      <c r="E132" s="271"/>
      <c r="F132" s="271"/>
      <c r="G132" s="271"/>
    </row>
    <row r="133" spans="3:7" ht="15.75">
      <c r="C133" s="270"/>
      <c r="D133" s="271"/>
      <c r="E133" s="271"/>
      <c r="F133" s="271"/>
      <c r="G133" s="271"/>
    </row>
    <row r="134" spans="3:7" ht="15.75">
      <c r="C134" s="270"/>
      <c r="D134" s="271"/>
      <c r="E134" s="271"/>
      <c r="F134" s="271"/>
      <c r="G134" s="271"/>
    </row>
    <row r="135" spans="3:7" ht="15.75">
      <c r="C135" s="270"/>
      <c r="D135" s="271"/>
      <c r="E135" s="271"/>
      <c r="F135" s="271"/>
      <c r="G135" s="271"/>
    </row>
    <row r="136" spans="3:7" ht="15.75">
      <c r="C136" s="270"/>
      <c r="D136" s="271"/>
      <c r="E136" s="271"/>
      <c r="F136" s="271"/>
      <c r="G136" s="271"/>
    </row>
    <row r="137" spans="3:7" ht="15.75">
      <c r="C137" s="270"/>
      <c r="D137" s="271"/>
      <c r="E137" s="271"/>
      <c r="F137" s="271"/>
      <c r="G137" s="271"/>
    </row>
    <row r="138" spans="3:7" ht="15.75">
      <c r="C138" s="270"/>
      <c r="D138" s="271"/>
      <c r="E138" s="271"/>
      <c r="F138" s="271"/>
      <c r="G138" s="271"/>
    </row>
    <row r="139" spans="3:7" ht="40.5" customHeight="1">
      <c r="C139" s="270"/>
      <c r="D139" s="271"/>
      <c r="E139" s="271"/>
      <c r="F139" s="271"/>
      <c r="G139" s="271"/>
    </row>
    <row r="140" spans="3:7" ht="15.75">
      <c r="C140" s="270"/>
      <c r="D140" s="271"/>
      <c r="E140" s="271"/>
      <c r="F140" s="271"/>
      <c r="G140" s="271"/>
    </row>
  </sheetData>
  <mergeCells count="9">
    <mergeCell ref="B66:H66"/>
    <mergeCell ref="B63:H63"/>
    <mergeCell ref="B64:H64"/>
    <mergeCell ref="B65:H65"/>
    <mergeCell ref="A1:H1"/>
    <mergeCell ref="A2:H2"/>
    <mergeCell ref="A3:H3"/>
    <mergeCell ref="B61:H61"/>
    <mergeCell ref="B62:H62"/>
  </mergeCells>
  <printOptions horizontalCentered="1"/>
  <pageMargins left="0.5" right="0.25" top="1" bottom="0.5" header="0.5" footer="0.5"/>
  <pageSetup scale="7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S272"/>
  <sheetViews>
    <sheetView tabSelected="1" workbookViewId="0"/>
  </sheetViews>
  <sheetFormatPr defaultColWidth="8.77734375" defaultRowHeight="12.75"/>
  <cols>
    <col min="1" max="1" width="4.21875" style="103" customWidth="1"/>
    <col min="2" max="2" width="47.77734375" style="103" customWidth="1"/>
    <col min="3" max="3" width="39.109375" style="103" customWidth="1"/>
    <col min="4" max="4" width="11.21875" style="103" bestFit="1" customWidth="1"/>
    <col min="5" max="5" width="4.109375" style="103" customWidth="1"/>
    <col min="6" max="6" width="3.21875" style="103" customWidth="1"/>
    <col min="7" max="7" width="6.44140625" style="103" customWidth="1"/>
    <col min="8" max="8" width="3.77734375" style="103" bestFit="1" customWidth="1"/>
    <col min="9" max="9" width="12.44140625" style="103" customWidth="1"/>
    <col min="10" max="10" width="1.44140625" style="103" customWidth="1"/>
    <col min="11" max="11" width="6.77734375" style="103" customWidth="1"/>
    <col min="12" max="12" width="13.5546875" style="103" bestFit="1" customWidth="1"/>
    <col min="13" max="14" width="10.77734375" style="103" customWidth="1"/>
    <col min="15" max="16" width="8.77734375" style="103"/>
    <col min="17" max="17" width="10.21875" style="103" customWidth="1"/>
    <col min="18" max="18" width="8.77734375" style="103"/>
    <col min="19" max="19" width="10.21875" style="103" customWidth="1"/>
    <col min="20" max="16384" width="8.77734375" style="103"/>
  </cols>
  <sheetData>
    <row r="1" spans="1:11">
      <c r="B1" s="71"/>
      <c r="C1" s="71"/>
      <c r="D1" s="104"/>
      <c r="E1" s="71"/>
      <c r="F1" s="71"/>
      <c r="G1" s="71"/>
      <c r="H1" s="71"/>
      <c r="I1" s="762" t="s">
        <v>480</v>
      </c>
      <c r="J1" s="762"/>
      <c r="K1" s="762"/>
    </row>
    <row r="2" spans="1:11">
      <c r="B2" s="71"/>
      <c r="C2" s="71"/>
      <c r="D2" s="104"/>
      <c r="E2" s="71"/>
      <c r="F2" s="71"/>
      <c r="G2" s="71"/>
      <c r="H2" s="71"/>
      <c r="I2" s="71"/>
      <c r="J2" s="761" t="s">
        <v>241</v>
      </c>
      <c r="K2" s="761"/>
    </row>
    <row r="3" spans="1:11">
      <c r="B3" s="71"/>
      <c r="C3" s="71"/>
      <c r="D3" s="104"/>
      <c r="E3" s="71"/>
      <c r="F3" s="71"/>
      <c r="G3" s="71"/>
      <c r="H3" s="71"/>
      <c r="I3" s="71"/>
      <c r="J3" s="71"/>
      <c r="K3" s="105"/>
    </row>
    <row r="4" spans="1:11">
      <c r="B4" s="104" t="s">
        <v>0</v>
      </c>
      <c r="C4" s="78" t="s">
        <v>122</v>
      </c>
      <c r="E4" s="71"/>
      <c r="F4" s="71"/>
      <c r="G4" s="71"/>
      <c r="H4" s="71"/>
      <c r="I4" s="71"/>
      <c r="J4" s="71"/>
      <c r="K4" s="106" t="s">
        <v>1239</v>
      </c>
    </row>
    <row r="5" spans="1:11">
      <c r="B5" s="71"/>
      <c r="C5" s="108" t="s">
        <v>123</v>
      </c>
      <c r="E5" s="107"/>
      <c r="F5" s="107"/>
      <c r="G5" s="107"/>
      <c r="H5" s="71"/>
      <c r="I5" s="71"/>
      <c r="J5" s="71"/>
      <c r="K5" s="71"/>
    </row>
    <row r="6" spans="1:11">
      <c r="B6" s="71"/>
      <c r="C6" s="107"/>
      <c r="D6" s="107"/>
      <c r="E6" s="107"/>
      <c r="F6" s="107"/>
      <c r="G6" s="107"/>
      <c r="H6" s="71"/>
      <c r="I6" s="71"/>
      <c r="J6" s="71"/>
      <c r="K6" s="71"/>
    </row>
    <row r="7" spans="1:11">
      <c r="B7" s="71"/>
      <c r="C7" s="109" t="s">
        <v>130</v>
      </c>
      <c r="E7" s="107"/>
      <c r="F7" s="107"/>
      <c r="G7" s="107"/>
      <c r="H7" s="107"/>
      <c r="I7" s="107"/>
      <c r="J7" s="107"/>
      <c r="K7" s="107"/>
    </row>
    <row r="8" spans="1:11">
      <c r="A8" s="78" t="s">
        <v>4</v>
      </c>
      <c r="B8" s="71"/>
      <c r="C8" s="71"/>
      <c r="D8" s="110"/>
      <c r="E8" s="71"/>
      <c r="F8" s="71"/>
      <c r="G8" s="71"/>
      <c r="H8" s="71"/>
      <c r="I8" s="78" t="s">
        <v>5</v>
      </c>
      <c r="J8" s="71"/>
      <c r="K8" s="71"/>
    </row>
    <row r="9" spans="1:11" ht="13.5" thickBot="1">
      <c r="A9" s="111" t="s">
        <v>6</v>
      </c>
      <c r="B9" s="71"/>
      <c r="C9" s="71"/>
      <c r="D9" s="71"/>
      <c r="E9" s="71"/>
      <c r="F9" s="71"/>
      <c r="G9" s="71"/>
      <c r="H9" s="71"/>
      <c r="I9" s="111" t="s">
        <v>7</v>
      </c>
      <c r="J9" s="71"/>
      <c r="K9" s="71"/>
    </row>
    <row r="10" spans="1:11">
      <c r="A10" s="78">
        <v>1</v>
      </c>
      <c r="B10" s="71" t="s">
        <v>962</v>
      </c>
      <c r="C10" s="71"/>
      <c r="D10" s="107"/>
      <c r="E10" s="71"/>
      <c r="F10" s="71"/>
      <c r="G10" s="71"/>
      <c r="H10" s="71"/>
      <c r="I10" s="112">
        <f>'Proj Att-H'!I151</f>
        <v>19345778.63815511</v>
      </c>
      <c r="J10" s="71"/>
      <c r="K10" s="71"/>
    </row>
    <row r="11" spans="1:11">
      <c r="A11" s="78"/>
      <c r="B11" s="71"/>
      <c r="C11" s="71"/>
      <c r="D11" s="71"/>
      <c r="E11" s="71"/>
      <c r="F11" s="71"/>
      <c r="G11" s="71"/>
      <c r="H11" s="71"/>
      <c r="I11" s="107"/>
      <c r="J11" s="71"/>
      <c r="K11" s="71"/>
    </row>
    <row r="12" spans="1:11" ht="13.5" thickBot="1">
      <c r="A12" s="78" t="s">
        <v>2</v>
      </c>
      <c r="B12" s="71" t="s">
        <v>8</v>
      </c>
      <c r="C12" s="107"/>
      <c r="D12" s="111" t="s">
        <v>9</v>
      </c>
      <c r="E12" s="107"/>
      <c r="F12" s="113" t="s">
        <v>10</v>
      </c>
      <c r="G12" s="113"/>
      <c r="H12" s="71"/>
      <c r="I12" s="107"/>
      <c r="J12" s="71"/>
      <c r="K12" s="71"/>
    </row>
    <row r="13" spans="1:11">
      <c r="A13" s="78">
        <v>2</v>
      </c>
      <c r="B13" s="71" t="s">
        <v>12</v>
      </c>
      <c r="C13" s="107" t="s">
        <v>906</v>
      </c>
      <c r="D13" s="174">
        <f>'Act Att-H'!D13</f>
        <v>80644.325484651577</v>
      </c>
      <c r="E13" s="107"/>
      <c r="F13" s="107"/>
      <c r="G13" s="114">
        <v>1</v>
      </c>
      <c r="H13" s="107"/>
      <c r="I13" s="63">
        <f>+G13*D13</f>
        <v>80644.325484651577</v>
      </c>
      <c r="J13" s="71"/>
      <c r="K13" s="71"/>
    </row>
    <row r="14" spans="1:11">
      <c r="A14" s="78">
        <v>3</v>
      </c>
      <c r="B14" s="71" t="s">
        <v>110</v>
      </c>
      <c r="C14" s="107" t="s">
        <v>907</v>
      </c>
      <c r="D14" s="174">
        <f>'Act Att-H'!D14</f>
        <v>44</v>
      </c>
      <c r="E14" s="107"/>
      <c r="F14" s="115"/>
      <c r="G14" s="114">
        <v>1</v>
      </c>
      <c r="H14" s="107"/>
      <c r="I14" s="63">
        <f>+G14*D14</f>
        <v>44</v>
      </c>
      <c r="J14" s="71"/>
      <c r="K14" s="71"/>
    </row>
    <row r="15" spans="1:11">
      <c r="A15" s="78">
        <v>4</v>
      </c>
      <c r="B15" s="2" t="s">
        <v>569</v>
      </c>
      <c r="C15" s="2"/>
      <c r="D15" s="177"/>
      <c r="E15" s="107"/>
      <c r="F15" s="115"/>
      <c r="G15" s="178"/>
      <c r="H15" s="107"/>
      <c r="I15" s="63"/>
      <c r="J15" s="71"/>
      <c r="K15" s="71"/>
    </row>
    <row r="16" spans="1:11" ht="13.5" thickBot="1">
      <c r="A16" s="78">
        <v>5</v>
      </c>
      <c r="B16" s="2" t="s">
        <v>569</v>
      </c>
      <c r="C16" s="2"/>
      <c r="D16" s="177"/>
      <c r="E16" s="107"/>
      <c r="F16" s="115"/>
      <c r="G16" s="178"/>
      <c r="H16" s="107"/>
      <c r="I16" s="64"/>
      <c r="J16" s="71"/>
      <c r="K16" s="71"/>
    </row>
    <row r="17" spans="1:11">
      <c r="A17" s="78">
        <v>6</v>
      </c>
      <c r="B17" s="71" t="s">
        <v>91</v>
      </c>
      <c r="C17" s="71"/>
      <c r="D17" s="117" t="s">
        <v>2</v>
      </c>
      <c r="E17" s="107"/>
      <c r="F17" s="107"/>
      <c r="G17" s="118"/>
      <c r="H17" s="107"/>
      <c r="I17" s="63">
        <f>SUM(I13:I16)</f>
        <v>80688.325484651577</v>
      </c>
      <c r="J17" s="71"/>
      <c r="K17" s="71"/>
    </row>
    <row r="18" spans="1:11">
      <c r="A18" s="78"/>
      <c r="B18" s="71"/>
      <c r="C18" s="71"/>
      <c r="I18" s="63"/>
      <c r="J18" s="71"/>
      <c r="K18" s="71"/>
    </row>
    <row r="19" spans="1:11">
      <c r="A19" s="78" t="s">
        <v>126</v>
      </c>
      <c r="B19" s="71" t="s">
        <v>155</v>
      </c>
      <c r="C19" s="71" t="s">
        <v>909</v>
      </c>
      <c r="I19" s="174">
        <f>'TU-TrueUp'!H58</f>
        <v>-5173907.74</v>
      </c>
      <c r="J19" s="71"/>
      <c r="K19" s="71"/>
    </row>
    <row r="20" spans="1:11">
      <c r="A20" s="78"/>
      <c r="B20" s="71"/>
      <c r="C20" s="71"/>
      <c r="I20" s="107"/>
      <c r="J20" s="71"/>
      <c r="K20" s="71"/>
    </row>
    <row r="21" spans="1:11" ht="13.5" thickBot="1">
      <c r="A21" s="78">
        <v>7</v>
      </c>
      <c r="B21" s="71" t="s">
        <v>13</v>
      </c>
      <c r="C21" s="71" t="s">
        <v>156</v>
      </c>
      <c r="D21" s="117"/>
      <c r="E21" s="107"/>
      <c r="F21" s="107"/>
      <c r="G21" s="107"/>
      <c r="H21" s="107"/>
      <c r="I21" s="119">
        <f>I10-I17+I19</f>
        <v>14091182.572670458</v>
      </c>
      <c r="J21" s="71"/>
      <c r="K21" s="71"/>
    </row>
    <row r="22" spans="1:11" ht="13.5" thickTop="1">
      <c r="A22" s="78"/>
      <c r="B22" s="71"/>
      <c r="C22" s="71"/>
      <c r="D22" s="117"/>
      <c r="E22" s="107"/>
      <c r="F22" s="107"/>
      <c r="G22" s="107"/>
      <c r="H22" s="107"/>
      <c r="I22" s="422"/>
      <c r="J22" s="71"/>
      <c r="K22" s="71"/>
    </row>
    <row r="23" spans="1:11">
      <c r="A23" s="78" t="s">
        <v>765</v>
      </c>
      <c r="B23" s="71" t="s">
        <v>766</v>
      </c>
      <c r="C23" s="71" t="s">
        <v>767</v>
      </c>
      <c r="D23" s="117"/>
      <c r="E23" s="107"/>
      <c r="F23" s="107"/>
      <c r="G23" s="107"/>
      <c r="H23" s="107"/>
      <c r="I23" s="120">
        <f>I21-I19</f>
        <v>19265090.312670458</v>
      </c>
      <c r="J23" s="71"/>
      <c r="K23" s="71"/>
    </row>
    <row r="24" spans="1:11">
      <c r="A24" s="78"/>
      <c r="C24" s="71"/>
      <c r="D24" s="117"/>
      <c r="E24" s="107"/>
      <c r="F24" s="107"/>
      <c r="G24" s="107"/>
      <c r="H24" s="107"/>
      <c r="J24" s="71"/>
      <c r="K24" s="71"/>
    </row>
    <row r="25" spans="1:11">
      <c r="A25" s="78"/>
      <c r="B25" s="71" t="s">
        <v>14</v>
      </c>
      <c r="C25" s="71"/>
      <c r="D25" s="107"/>
      <c r="E25" s="71"/>
      <c r="F25" s="71"/>
      <c r="G25" s="71"/>
      <c r="H25" s="71"/>
      <c r="I25" s="107"/>
      <c r="J25" s="71"/>
      <c r="K25" s="71"/>
    </row>
    <row r="26" spans="1:11">
      <c r="A26" s="78">
        <v>8</v>
      </c>
      <c r="B26" s="71" t="s">
        <v>255</v>
      </c>
      <c r="C26" s="103" t="s">
        <v>908</v>
      </c>
      <c r="D26" s="107"/>
      <c r="E26" s="71"/>
      <c r="F26" s="71"/>
      <c r="G26" s="71"/>
      <c r="H26" s="71"/>
      <c r="I26" s="174">
        <f>'P3-Divisor'!G24</f>
        <v>282555.29522024363</v>
      </c>
      <c r="J26" s="71"/>
      <c r="K26" s="71"/>
    </row>
    <row r="27" spans="1:11">
      <c r="A27" s="78">
        <v>9</v>
      </c>
      <c r="B27" s="71"/>
      <c r="C27" s="107"/>
      <c r="D27" s="107"/>
      <c r="E27" s="107"/>
      <c r="F27" s="107"/>
      <c r="G27" s="107"/>
      <c r="H27" s="107"/>
      <c r="I27" s="107"/>
      <c r="J27" s="71"/>
      <c r="K27" s="71"/>
    </row>
    <row r="28" spans="1:11">
      <c r="A28" s="78">
        <v>10</v>
      </c>
      <c r="B28" s="107" t="s">
        <v>254</v>
      </c>
      <c r="C28" s="107"/>
      <c r="D28" s="107"/>
      <c r="E28" s="107"/>
      <c r="F28" s="107"/>
      <c r="G28" s="107"/>
      <c r="H28" s="107"/>
      <c r="I28" s="107"/>
      <c r="J28" s="107"/>
      <c r="K28" s="71"/>
    </row>
    <row r="29" spans="1:11">
      <c r="A29" s="78">
        <v>11</v>
      </c>
      <c r="B29" s="71" t="s">
        <v>256</v>
      </c>
      <c r="C29" s="71"/>
      <c r="D29" s="577">
        <f>ROUND(I21/I26,2)</f>
        <v>49.87</v>
      </c>
      <c r="E29" s="71" t="s">
        <v>245</v>
      </c>
      <c r="F29" s="107"/>
      <c r="G29" s="107"/>
      <c r="H29" s="107"/>
      <c r="I29" s="107"/>
      <c r="J29" s="107"/>
      <c r="K29" s="71"/>
    </row>
    <row r="30" spans="1:11">
      <c r="A30" s="78">
        <v>12</v>
      </c>
      <c r="B30" s="71" t="s">
        <v>257</v>
      </c>
      <c r="C30" s="71" t="s">
        <v>788</v>
      </c>
      <c r="D30" s="577">
        <f>ROUND(D29/12,2)</f>
        <v>4.16</v>
      </c>
      <c r="E30" s="71" t="s">
        <v>246</v>
      </c>
      <c r="F30" s="107"/>
      <c r="G30" s="107"/>
      <c r="H30" s="107"/>
      <c r="I30" s="107"/>
      <c r="J30" s="107"/>
      <c r="K30" s="71"/>
    </row>
    <row r="31" spans="1:11">
      <c r="A31" s="78">
        <v>13</v>
      </c>
      <c r="B31" s="71" t="s">
        <v>258</v>
      </c>
      <c r="C31" s="71" t="s">
        <v>789</v>
      </c>
      <c r="D31" s="577">
        <f>ROUND(D29/52,2)</f>
        <v>0.96</v>
      </c>
      <c r="E31" s="71" t="s">
        <v>247</v>
      </c>
      <c r="F31" s="107"/>
      <c r="G31" s="107"/>
      <c r="H31" s="107"/>
      <c r="I31" s="107"/>
      <c r="J31" s="107"/>
      <c r="K31" s="71"/>
    </row>
    <row r="32" spans="1:11">
      <c r="A32" s="78">
        <v>14</v>
      </c>
      <c r="B32" s="71" t="s">
        <v>259</v>
      </c>
      <c r="C32" s="71" t="s">
        <v>248</v>
      </c>
      <c r="D32" s="578">
        <f>+D31/6</f>
        <v>0.16</v>
      </c>
      <c r="E32" s="71" t="s">
        <v>249</v>
      </c>
      <c r="F32" s="107"/>
      <c r="G32" s="107"/>
      <c r="H32" s="107"/>
      <c r="I32" s="107"/>
      <c r="J32" s="107"/>
      <c r="K32" s="71"/>
    </row>
    <row r="33" spans="1:11">
      <c r="A33" s="78">
        <v>15</v>
      </c>
      <c r="B33" s="71" t="s">
        <v>260</v>
      </c>
      <c r="C33" s="71" t="s">
        <v>250</v>
      </c>
      <c r="D33" s="578">
        <f>+D31/7</f>
        <v>0.13714285714285715</v>
      </c>
      <c r="E33" s="71" t="s">
        <v>249</v>
      </c>
      <c r="F33" s="107"/>
      <c r="G33" s="107"/>
      <c r="H33" s="107"/>
      <c r="I33" s="107"/>
      <c r="J33" s="107"/>
      <c r="K33" s="71"/>
    </row>
    <row r="34" spans="1:11">
      <c r="A34" s="78">
        <v>16</v>
      </c>
      <c r="B34" s="71" t="s">
        <v>261</v>
      </c>
      <c r="C34" s="71" t="s">
        <v>251</v>
      </c>
      <c r="D34" s="577">
        <f>+D32/16*1000</f>
        <v>10</v>
      </c>
      <c r="E34" s="71" t="s">
        <v>895</v>
      </c>
      <c r="F34" s="107"/>
      <c r="G34" s="107"/>
      <c r="H34" s="107"/>
      <c r="I34" s="107"/>
      <c r="J34" s="107"/>
      <c r="K34" s="71"/>
    </row>
    <row r="35" spans="1:11">
      <c r="A35" s="78">
        <v>17</v>
      </c>
      <c r="B35" s="71" t="s">
        <v>262</v>
      </c>
      <c r="C35" s="71" t="s">
        <v>252</v>
      </c>
      <c r="D35" s="577">
        <f>+D33/24*1000</f>
        <v>5.7142857142857144</v>
      </c>
      <c r="E35" s="71" t="s">
        <v>895</v>
      </c>
      <c r="F35" s="107"/>
      <c r="G35" s="107"/>
      <c r="H35" s="107"/>
      <c r="I35" s="107"/>
      <c r="J35" s="107"/>
      <c r="K35" s="71"/>
    </row>
    <row r="36" spans="1:11">
      <c r="B36" s="71"/>
      <c r="C36" s="71"/>
      <c r="D36" s="104"/>
      <c r="E36" s="71"/>
      <c r="F36" s="71"/>
      <c r="G36" s="71"/>
      <c r="H36" s="71"/>
      <c r="I36" s="762" t="str">
        <f>I1</f>
        <v>Projected Attachment H</v>
      </c>
      <c r="J36" s="762"/>
      <c r="K36" s="762"/>
    </row>
    <row r="37" spans="1:11">
      <c r="B37" s="71"/>
      <c r="C37" s="71"/>
      <c r="D37" s="104"/>
      <c r="E37" s="71"/>
      <c r="F37" s="71"/>
      <c r="G37" s="71"/>
      <c r="H37" s="71"/>
      <c r="I37" s="71"/>
      <c r="J37" s="761" t="s">
        <v>242</v>
      </c>
      <c r="K37" s="761"/>
    </row>
    <row r="38" spans="1:11">
      <c r="B38" s="71"/>
      <c r="C38" s="71"/>
      <c r="D38" s="104"/>
      <c r="E38" s="71"/>
      <c r="F38" s="71"/>
      <c r="G38" s="71"/>
      <c r="H38" s="71"/>
      <c r="I38" s="71"/>
      <c r="J38" s="71"/>
      <c r="K38" s="105"/>
    </row>
    <row r="39" spans="1:11">
      <c r="B39" s="104" t="s">
        <v>0</v>
      </c>
      <c r="C39" s="78" t="s">
        <v>1</v>
      </c>
      <c r="E39" s="71"/>
      <c r="F39" s="71"/>
      <c r="G39" s="71"/>
      <c r="H39" s="71"/>
      <c r="I39" s="71"/>
      <c r="J39" s="71"/>
      <c r="K39" s="121" t="str">
        <f>K4</f>
        <v>Estimated - For the 12 months ended 12/31/2024</v>
      </c>
    </row>
    <row r="40" spans="1:11">
      <c r="B40" s="71"/>
      <c r="C40" s="108" t="s">
        <v>3</v>
      </c>
      <c r="E40" s="107"/>
      <c r="F40" s="107"/>
      <c r="G40" s="107"/>
      <c r="H40" s="71"/>
      <c r="I40" s="71"/>
      <c r="J40" s="71"/>
      <c r="K40" s="71"/>
    </row>
    <row r="41" spans="1:11">
      <c r="B41" s="71"/>
      <c r="C41" s="107"/>
      <c r="E41" s="107"/>
      <c r="F41" s="107"/>
      <c r="G41" s="107"/>
      <c r="H41" s="71"/>
      <c r="I41" s="71"/>
      <c r="J41" s="71"/>
      <c r="K41" s="71"/>
    </row>
    <row r="42" spans="1:11">
      <c r="A42" s="78"/>
      <c r="C42" s="122" t="str">
        <f>C7</f>
        <v>Cheyenne Light, Fuel &amp; Power</v>
      </c>
      <c r="J42" s="107"/>
      <c r="K42" s="107"/>
    </row>
    <row r="43" spans="1:11">
      <c r="B43" s="71"/>
      <c r="C43" s="71"/>
      <c r="D43" s="71"/>
      <c r="E43" s="71"/>
      <c r="F43" s="71"/>
      <c r="G43" s="71"/>
      <c r="H43" s="71"/>
      <c r="J43" s="71"/>
      <c r="K43" s="71"/>
    </row>
    <row r="44" spans="1:11">
      <c r="B44" s="78" t="s">
        <v>15</v>
      </c>
      <c r="C44" s="78" t="s">
        <v>16</v>
      </c>
      <c r="D44" s="78" t="s">
        <v>17</v>
      </c>
      <c r="E44" s="107" t="s">
        <v>2</v>
      </c>
      <c r="F44" s="107"/>
      <c r="G44" s="123" t="s">
        <v>18</v>
      </c>
      <c r="H44" s="107"/>
      <c r="I44" s="124" t="s">
        <v>19</v>
      </c>
      <c r="J44" s="107"/>
      <c r="K44" s="78"/>
    </row>
    <row r="45" spans="1:11">
      <c r="B45" s="71"/>
      <c r="C45" s="125" t="s">
        <v>20</v>
      </c>
      <c r="D45" s="107"/>
      <c r="E45" s="107"/>
      <c r="F45" s="107"/>
      <c r="G45" s="78"/>
      <c r="H45" s="107"/>
      <c r="I45" s="126" t="s">
        <v>21</v>
      </c>
      <c r="J45" s="107"/>
      <c r="K45" s="78"/>
    </row>
    <row r="46" spans="1:11">
      <c r="A46" s="78" t="s">
        <v>4</v>
      </c>
      <c r="B46" s="71"/>
      <c r="C46" s="127" t="s">
        <v>22</v>
      </c>
      <c r="D46" s="126" t="s">
        <v>23</v>
      </c>
      <c r="E46" s="128"/>
      <c r="F46" s="126" t="s">
        <v>24</v>
      </c>
      <c r="H46" s="128"/>
      <c r="I46" s="78" t="s">
        <v>25</v>
      </c>
      <c r="J46" s="107"/>
      <c r="K46" s="78"/>
    </row>
    <row r="47" spans="1:11" ht="13.5" thickBot="1">
      <c r="A47" s="111" t="s">
        <v>6</v>
      </c>
      <c r="B47" s="129" t="s">
        <v>573</v>
      </c>
      <c r="C47" s="107"/>
      <c r="D47" s="107"/>
      <c r="E47" s="107"/>
      <c r="F47" s="107"/>
      <c r="G47" s="107"/>
      <c r="H47" s="107"/>
      <c r="I47" s="107"/>
      <c r="J47" s="107"/>
      <c r="K47" s="107"/>
    </row>
    <row r="48" spans="1:11">
      <c r="A48" s="78"/>
      <c r="B48" s="71" t="s">
        <v>639</v>
      </c>
      <c r="C48" s="107"/>
      <c r="D48" s="107"/>
      <c r="E48" s="107"/>
      <c r="F48" s="107"/>
      <c r="G48" s="107"/>
      <c r="H48" s="107"/>
      <c r="I48" s="107"/>
      <c r="J48" s="107"/>
      <c r="K48" s="107"/>
    </row>
    <row r="49" spans="1:12">
      <c r="A49" s="78">
        <v>1</v>
      </c>
      <c r="B49" s="71" t="s">
        <v>28</v>
      </c>
      <c r="C49" s="51" t="s">
        <v>1209</v>
      </c>
      <c r="D49" s="280">
        <f>'P1-Trans Plant'!H44</f>
        <v>148950277.65985495</v>
      </c>
      <c r="E49" s="107"/>
      <c r="F49" s="107" t="s">
        <v>11</v>
      </c>
      <c r="G49" s="131">
        <f>$I$170</f>
        <v>0.94993800079121415</v>
      </c>
      <c r="H49" s="107"/>
      <c r="I49" s="63">
        <f>+G49*D49</f>
        <v>141493528.97749886</v>
      </c>
      <c r="J49" s="107"/>
      <c r="K49" s="107"/>
    </row>
    <row r="50" spans="1:12">
      <c r="A50" s="78">
        <v>2</v>
      </c>
      <c r="B50" s="71" t="s">
        <v>30</v>
      </c>
      <c r="C50" s="71" t="s">
        <v>778</v>
      </c>
      <c r="D50" s="280">
        <f>'A4-Rate Base'!F22</f>
        <v>21617201.75</v>
      </c>
      <c r="E50" s="107"/>
      <c r="F50" s="107" t="s">
        <v>31</v>
      </c>
      <c r="G50" s="131">
        <f>$I$187</f>
        <v>7.0964263854582682E-2</v>
      </c>
      <c r="H50" s="107"/>
      <c r="I50" s="63">
        <f>+G50*D50</f>
        <v>1534048.8087847466</v>
      </c>
      <c r="J50" s="107"/>
      <c r="K50" s="107"/>
    </row>
    <row r="51" spans="1:12">
      <c r="A51" s="78">
        <v>3</v>
      </c>
      <c r="B51" s="71" t="s">
        <v>364</v>
      </c>
      <c r="C51" s="179" t="s">
        <v>621</v>
      </c>
      <c r="D51" s="586">
        <f>SUM(D49:D50)</f>
        <v>170567479.40985495</v>
      </c>
      <c r="E51" s="107"/>
      <c r="F51" s="107" t="s">
        <v>37</v>
      </c>
      <c r="G51" s="131">
        <f>$G$234</f>
        <v>0.18371573340764177</v>
      </c>
      <c r="H51" s="107"/>
      <c r="I51" s="184">
        <f>SUM(I49:I50)</f>
        <v>143027577.78628361</v>
      </c>
      <c r="J51" s="107"/>
      <c r="K51" s="133"/>
      <c r="L51" s="52"/>
    </row>
    <row r="52" spans="1:12">
      <c r="B52" s="71"/>
      <c r="C52" s="107"/>
      <c r="D52" s="107"/>
      <c r="E52" s="107"/>
      <c r="F52" s="107"/>
      <c r="G52" s="131"/>
      <c r="H52" s="107"/>
      <c r="I52" s="59"/>
      <c r="J52" s="107"/>
      <c r="K52" s="133"/>
    </row>
    <row r="53" spans="1:12">
      <c r="B53" s="71" t="s">
        <v>640</v>
      </c>
      <c r="C53" s="107"/>
      <c r="D53" s="107"/>
      <c r="E53" s="107"/>
      <c r="F53" s="107"/>
      <c r="G53" s="131"/>
      <c r="H53" s="107"/>
      <c r="I53" s="107"/>
      <c r="J53" s="107"/>
      <c r="K53" s="107"/>
    </row>
    <row r="54" spans="1:12">
      <c r="A54" s="78">
        <v>4</v>
      </c>
      <c r="B54" s="134" t="str">
        <f>+B49</f>
        <v xml:space="preserve">  Transmission</v>
      </c>
      <c r="C54" s="51" t="s">
        <v>1210</v>
      </c>
      <c r="D54" s="280">
        <f>'P1-Trans Plant'!J44</f>
        <v>12563088.102417748</v>
      </c>
      <c r="E54" s="107"/>
      <c r="F54" s="115" t="str">
        <f>+F49</f>
        <v>TP</v>
      </c>
      <c r="G54" s="131">
        <f>$I$170</f>
        <v>0.94993800079121415</v>
      </c>
      <c r="H54" s="107"/>
      <c r="I54" s="63">
        <f>+G54*D54</f>
        <v>11934154.795774605</v>
      </c>
      <c r="J54" s="107"/>
      <c r="K54" s="107"/>
      <c r="L54" s="51"/>
    </row>
    <row r="55" spans="1:12">
      <c r="A55" s="78">
        <v>5</v>
      </c>
      <c r="B55" s="134" t="str">
        <f>+B50</f>
        <v xml:space="preserve">  General &amp; Intangible</v>
      </c>
      <c r="C55" s="71" t="s">
        <v>779</v>
      </c>
      <c r="D55" s="280">
        <f>'A4-Rate Base'!H45</f>
        <v>5259787.62</v>
      </c>
      <c r="E55" s="107"/>
      <c r="F55" s="115" t="str">
        <f>+F50</f>
        <v>W/S</v>
      </c>
      <c r="G55" s="131">
        <f>$I$187</f>
        <v>7.0964263854582682E-2</v>
      </c>
      <c r="H55" s="107"/>
      <c r="I55" s="63">
        <f>+G55*D55</f>
        <v>373256.95648474747</v>
      </c>
      <c r="J55" s="107"/>
      <c r="K55" s="107"/>
    </row>
    <row r="56" spans="1:12">
      <c r="A56" s="78">
        <v>6</v>
      </c>
      <c r="B56" s="71" t="s">
        <v>366</v>
      </c>
      <c r="C56" s="179" t="s">
        <v>621</v>
      </c>
      <c r="D56" s="586">
        <f>SUM(D54:D55)</f>
        <v>17822875.722417749</v>
      </c>
      <c r="E56" s="107"/>
      <c r="F56" s="107"/>
      <c r="G56" s="131"/>
      <c r="H56" s="107"/>
      <c r="I56" s="184">
        <f>SUM(I54:I55)</f>
        <v>12307411.752259353</v>
      </c>
      <c r="J56" s="107"/>
      <c r="K56" s="107"/>
      <c r="L56" s="52"/>
    </row>
    <row r="57" spans="1:12">
      <c r="A57" s="78"/>
      <c r="C57" s="107" t="s">
        <v>2</v>
      </c>
      <c r="E57" s="107"/>
      <c r="F57" s="107"/>
      <c r="G57" s="131"/>
      <c r="H57" s="107"/>
      <c r="J57" s="107"/>
      <c r="K57" s="133"/>
    </row>
    <row r="58" spans="1:12">
      <c r="A58" s="78"/>
      <c r="B58" s="71" t="s">
        <v>141</v>
      </c>
      <c r="C58" s="107"/>
      <c r="D58" s="107"/>
      <c r="E58" s="107"/>
      <c r="F58" s="107"/>
      <c r="G58" s="131"/>
      <c r="H58" s="107"/>
      <c r="I58" s="107"/>
      <c r="J58" s="107"/>
      <c r="K58" s="107"/>
    </row>
    <row r="59" spans="1:12">
      <c r="A59" s="78">
        <v>7</v>
      </c>
      <c r="B59" s="134" t="str">
        <f>+B54</f>
        <v xml:space="preserve">  Transmission</v>
      </c>
      <c r="C59" s="52" t="s">
        <v>624</v>
      </c>
      <c r="D59" s="587">
        <f>D49-D54</f>
        <v>136387189.55743721</v>
      </c>
      <c r="E59" s="107"/>
      <c r="F59" s="107"/>
      <c r="G59" s="131"/>
      <c r="H59" s="107"/>
      <c r="I59" s="63">
        <f>I49-I54</f>
        <v>129559374.18172425</v>
      </c>
      <c r="J59" s="107"/>
      <c r="K59" s="133"/>
    </row>
    <row r="60" spans="1:12">
      <c r="A60" s="78">
        <v>8</v>
      </c>
      <c r="B60" s="134" t="str">
        <f>+B55</f>
        <v xml:space="preserve">  General &amp; Intangible</v>
      </c>
      <c r="C60" s="52" t="s">
        <v>623</v>
      </c>
      <c r="D60" s="587">
        <f>D50-D55</f>
        <v>16357414.129999999</v>
      </c>
      <c r="E60" s="107"/>
      <c r="F60" s="107"/>
      <c r="G60" s="131"/>
      <c r="H60" s="107"/>
      <c r="I60" s="63">
        <f>I50-I55</f>
        <v>1160791.852299999</v>
      </c>
      <c r="J60" s="107"/>
      <c r="K60" s="133"/>
    </row>
    <row r="61" spans="1:12">
      <c r="A61" s="78">
        <v>9</v>
      </c>
      <c r="B61" s="71" t="s">
        <v>368</v>
      </c>
      <c r="C61" s="179" t="s">
        <v>622</v>
      </c>
      <c r="D61" s="588">
        <f>SUM(D59:D60)</f>
        <v>152744603.68743721</v>
      </c>
      <c r="E61" s="107"/>
      <c r="F61" s="107" t="s">
        <v>34</v>
      </c>
      <c r="G61" s="131">
        <f>$G$242</f>
        <v>0.21102527466317414</v>
      </c>
      <c r="H61" s="107"/>
      <c r="I61" s="184">
        <f>SUM(I59:I60)</f>
        <v>130720166.03402425</v>
      </c>
      <c r="J61" s="107"/>
      <c r="K61" s="107"/>
    </row>
    <row r="62" spans="1:12" s="2" customFormat="1">
      <c r="A62" s="53"/>
      <c r="B62" s="54"/>
      <c r="C62" s="52"/>
      <c r="D62" s="55"/>
      <c r="E62" s="51"/>
      <c r="F62" s="51"/>
      <c r="G62" s="131"/>
      <c r="H62" s="51"/>
      <c r="I62" s="63"/>
      <c r="J62" s="52"/>
      <c r="K62" s="52"/>
    </row>
    <row r="63" spans="1:12" s="2" customFormat="1">
      <c r="A63" s="53">
        <v>10</v>
      </c>
      <c r="B63" s="57" t="s">
        <v>370</v>
      </c>
      <c r="C63" s="58" t="s">
        <v>700</v>
      </c>
      <c r="D63" s="280">
        <f>'A4-Rate Base'!H23</f>
        <v>0</v>
      </c>
      <c r="E63" s="58"/>
      <c r="F63" s="73"/>
      <c r="G63" s="652"/>
      <c r="H63" s="58"/>
      <c r="I63" s="60">
        <f>+G63*D63</f>
        <v>0</v>
      </c>
      <c r="J63" s="52"/>
      <c r="K63" s="52"/>
    </row>
    <row r="64" spans="1:12" s="2" customFormat="1">
      <c r="A64" s="53"/>
      <c r="B64" s="61"/>
      <c r="C64" s="52"/>
      <c r="D64" s="55"/>
      <c r="E64" s="52"/>
      <c r="F64" s="61"/>
      <c r="G64" s="131"/>
      <c r="H64" s="52"/>
      <c r="I64" s="55"/>
      <c r="J64" s="52"/>
      <c r="K64" s="62"/>
    </row>
    <row r="65" spans="1:12">
      <c r="A65" s="78"/>
      <c r="B65" s="71" t="s">
        <v>464</v>
      </c>
      <c r="C65" s="107"/>
      <c r="D65" s="107"/>
      <c r="E65" s="107"/>
      <c r="F65" s="107"/>
      <c r="G65" s="131"/>
      <c r="H65" s="107"/>
      <c r="I65" s="107"/>
      <c r="J65" s="107"/>
      <c r="K65" s="107"/>
    </row>
    <row r="66" spans="1:12">
      <c r="A66" s="53">
        <v>11</v>
      </c>
      <c r="B66" s="134" t="s">
        <v>1091</v>
      </c>
      <c r="C66" s="71" t="s">
        <v>1031</v>
      </c>
      <c r="D66" s="280">
        <f>'P5-ADIT'!J72</f>
        <v>0</v>
      </c>
      <c r="E66" s="52"/>
      <c r="F66" s="52" t="s">
        <v>37</v>
      </c>
      <c r="G66" s="131">
        <f>$G$234</f>
        <v>0.18371573340764177</v>
      </c>
      <c r="H66" s="51"/>
      <c r="I66" s="55">
        <f>D66*G66</f>
        <v>0</v>
      </c>
      <c r="J66" s="107"/>
      <c r="K66" s="133"/>
    </row>
    <row r="67" spans="1:12">
      <c r="A67" s="53">
        <v>12</v>
      </c>
      <c r="B67" s="134" t="s">
        <v>1098</v>
      </c>
      <c r="C67" s="71" t="s">
        <v>1032</v>
      </c>
      <c r="D67" s="280">
        <f>'P5-ADIT'!J106</f>
        <v>-14833140.48817425</v>
      </c>
      <c r="E67" s="52"/>
      <c r="F67" s="52" t="s">
        <v>11</v>
      </c>
      <c r="G67" s="131">
        <f>$I$170</f>
        <v>0.94993800079121415</v>
      </c>
      <c r="H67" s="51"/>
      <c r="I67" s="55">
        <f>D67*G67</f>
        <v>-14090563.820791462</v>
      </c>
      <c r="J67" s="107"/>
      <c r="K67" s="133"/>
    </row>
    <row r="68" spans="1:12">
      <c r="A68" s="53">
        <v>13</v>
      </c>
      <c r="B68" s="134" t="s">
        <v>1099</v>
      </c>
      <c r="C68" s="71" t="s">
        <v>1033</v>
      </c>
      <c r="D68" s="280">
        <f>'P5-ADIT'!J140</f>
        <v>-4014949.5</v>
      </c>
      <c r="E68" s="52"/>
      <c r="F68" s="52" t="s">
        <v>37</v>
      </c>
      <c r="G68" s="131">
        <f>$G$234</f>
        <v>0.18371573340764177</v>
      </c>
      <c r="H68" s="51"/>
      <c r="I68" s="55">
        <f>D68*G68</f>
        <v>-737609.3919871446</v>
      </c>
      <c r="J68" s="107"/>
      <c r="K68" s="133"/>
    </row>
    <row r="69" spans="1:12">
      <c r="A69" s="53">
        <v>14</v>
      </c>
      <c r="B69" s="54" t="s">
        <v>136</v>
      </c>
      <c r="C69" s="71" t="s">
        <v>1016</v>
      </c>
      <c r="D69" s="280">
        <f>'P5-ADIT'!J28</f>
        <v>17528966.950300001</v>
      </c>
      <c r="E69" s="52"/>
      <c r="F69" s="52" t="s">
        <v>37</v>
      </c>
      <c r="G69" s="131">
        <f>$G$234</f>
        <v>0.18371573340764177</v>
      </c>
      <c r="H69" s="51"/>
      <c r="I69" s="63">
        <f>D69*G69</f>
        <v>3220347.0191526785</v>
      </c>
      <c r="J69" s="107"/>
      <c r="K69" s="133"/>
    </row>
    <row r="70" spans="1:12">
      <c r="A70" s="53" t="s">
        <v>1018</v>
      </c>
      <c r="B70" s="54" t="s">
        <v>1019</v>
      </c>
      <c r="C70" s="71" t="s">
        <v>1017</v>
      </c>
      <c r="D70" s="280">
        <f>'P5-ADIT'!J35</f>
        <v>571500.6586459981</v>
      </c>
      <c r="E70" s="52"/>
      <c r="F70" s="52"/>
      <c r="G70" s="131"/>
      <c r="H70" s="51"/>
      <c r="I70" s="63">
        <f>D70</f>
        <v>571500.6586459981</v>
      </c>
      <c r="J70" s="107"/>
      <c r="K70" s="133"/>
    </row>
    <row r="71" spans="1:12">
      <c r="A71" s="53">
        <v>15</v>
      </c>
      <c r="B71" s="61" t="s">
        <v>999</v>
      </c>
      <c r="C71" s="71"/>
      <c r="D71" s="587">
        <v>0</v>
      </c>
      <c r="E71" s="52"/>
      <c r="F71" s="52"/>
      <c r="G71" s="131"/>
      <c r="H71" s="51"/>
      <c r="I71" s="59">
        <f>D71*G71</f>
        <v>0</v>
      </c>
      <c r="J71" s="107"/>
      <c r="K71" s="133"/>
    </row>
    <row r="72" spans="1:12">
      <c r="A72" s="53">
        <v>16</v>
      </c>
      <c r="B72" s="57" t="s">
        <v>371</v>
      </c>
      <c r="C72" s="71" t="s">
        <v>1096</v>
      </c>
      <c r="D72" s="280">
        <f>'A4-Rate Base'!C69</f>
        <v>0</v>
      </c>
      <c r="E72" s="58"/>
      <c r="F72" s="73"/>
      <c r="G72" s="652"/>
      <c r="H72" s="58"/>
      <c r="I72" s="60">
        <f>D72*G72</f>
        <v>0</v>
      </c>
      <c r="J72" s="107"/>
      <c r="K72" s="133"/>
    </row>
    <row r="73" spans="1:12">
      <c r="A73" s="53">
        <v>17</v>
      </c>
      <c r="B73" s="57" t="s">
        <v>372</v>
      </c>
      <c r="C73" s="71" t="s">
        <v>1097</v>
      </c>
      <c r="D73" s="280">
        <f>'A4-Rate Base'!D69</f>
        <v>0</v>
      </c>
      <c r="E73" s="58"/>
      <c r="F73" s="73"/>
      <c r="G73" s="652"/>
      <c r="H73" s="58"/>
      <c r="I73" s="60">
        <f>D73*G73</f>
        <v>0</v>
      </c>
      <c r="J73" s="107"/>
      <c r="K73" s="133"/>
    </row>
    <row r="74" spans="1:12">
      <c r="A74" s="53">
        <v>18</v>
      </c>
      <c r="B74" s="57" t="s">
        <v>374</v>
      </c>
      <c r="C74" s="71" t="s">
        <v>620</v>
      </c>
      <c r="D74" s="280">
        <f>'Act Att-H'!D78</f>
        <v>0</v>
      </c>
      <c r="E74" s="58"/>
      <c r="F74" s="58"/>
      <c r="G74" s="131"/>
      <c r="H74" s="58"/>
      <c r="I74" s="60">
        <f t="shared" ref="I74" si="0">D74</f>
        <v>0</v>
      </c>
      <c r="J74" s="107"/>
      <c r="K74" s="133"/>
    </row>
    <row r="75" spans="1:12">
      <c r="A75" s="53">
        <v>19</v>
      </c>
      <c r="B75" s="134" t="s">
        <v>137</v>
      </c>
      <c r="C75" s="71" t="s">
        <v>619</v>
      </c>
      <c r="D75" s="280">
        <f>'Act Att-H'!D79</f>
        <v>145932.04499999998</v>
      </c>
      <c r="E75" s="107"/>
      <c r="F75" s="52" t="s">
        <v>37</v>
      </c>
      <c r="G75" s="131">
        <f>$G$234</f>
        <v>0.18371573340764177</v>
      </c>
      <c r="H75" s="107"/>
      <c r="I75" s="60">
        <f t="shared" ref="I75" si="1">D75*G75</f>
        <v>26810.01267485198</v>
      </c>
      <c r="J75" s="107"/>
      <c r="K75" s="133"/>
    </row>
    <row r="76" spans="1:12" ht="13.5" thickBot="1">
      <c r="A76" s="78">
        <v>20</v>
      </c>
      <c r="B76" s="134" t="s">
        <v>1202</v>
      </c>
      <c r="C76" s="71" t="s">
        <v>1001</v>
      </c>
      <c r="D76" s="280">
        <f>'P5-ADIT'!J175</f>
        <v>-2721431.6071039089</v>
      </c>
      <c r="E76" s="107"/>
      <c r="F76" s="107"/>
      <c r="G76" s="107"/>
      <c r="H76" s="107"/>
      <c r="I76" s="64">
        <f>D76</f>
        <v>-2721431.6071039089</v>
      </c>
      <c r="J76" s="107"/>
      <c r="K76" s="133"/>
    </row>
    <row r="77" spans="1:12">
      <c r="A77" s="78">
        <v>21</v>
      </c>
      <c r="B77" s="71" t="s">
        <v>380</v>
      </c>
      <c r="C77" s="179" t="s">
        <v>1071</v>
      </c>
      <c r="D77" s="586">
        <f>SUM(D66:D76)</f>
        <v>-3323121.9413321624</v>
      </c>
      <c r="E77" s="107"/>
      <c r="F77" s="107"/>
      <c r="G77" s="131"/>
      <c r="H77" s="107"/>
      <c r="I77" s="63">
        <f>SUM(I66:I76)</f>
        <v>-13730947.129408987</v>
      </c>
      <c r="J77" s="107"/>
      <c r="K77" s="107"/>
      <c r="L77" s="52"/>
    </row>
    <row r="78" spans="1:12">
      <c r="A78" s="78"/>
      <c r="C78" s="107"/>
      <c r="E78" s="107"/>
      <c r="F78" s="107"/>
      <c r="G78" s="131"/>
      <c r="H78" s="107"/>
      <c r="J78" s="107"/>
      <c r="K78" s="133"/>
    </row>
    <row r="79" spans="1:12">
      <c r="A79" s="78">
        <v>22</v>
      </c>
      <c r="B79" s="71" t="s">
        <v>35</v>
      </c>
      <c r="C79" s="71" t="s">
        <v>780</v>
      </c>
      <c r="D79" s="280">
        <f>'A4-Rate Base'!I22</f>
        <v>318000</v>
      </c>
      <c r="E79" s="107"/>
      <c r="F79" s="115" t="str">
        <f>+F54</f>
        <v>TP</v>
      </c>
      <c r="G79" s="131">
        <f>$I$170</f>
        <v>0.94993800079121415</v>
      </c>
      <c r="H79" s="107"/>
      <c r="I79" s="63">
        <f>+G79*D79</f>
        <v>302080.28425160609</v>
      </c>
      <c r="J79" s="107"/>
      <c r="K79" s="107"/>
    </row>
    <row r="80" spans="1:12">
      <c r="A80" s="78"/>
      <c r="B80" s="71"/>
      <c r="C80" s="107"/>
      <c r="D80" s="107"/>
      <c r="E80" s="107"/>
      <c r="F80" s="107"/>
      <c r="G80" s="131"/>
      <c r="H80" s="107"/>
      <c r="I80" s="107"/>
      <c r="J80" s="107"/>
      <c r="K80" s="107"/>
    </row>
    <row r="81" spans="1:11">
      <c r="A81" s="78"/>
      <c r="B81" s="71" t="s">
        <v>142</v>
      </c>
      <c r="C81" s="52"/>
      <c r="D81" s="107"/>
      <c r="E81" s="107"/>
      <c r="F81" s="107"/>
      <c r="G81" s="131"/>
      <c r="H81" s="107"/>
      <c r="I81" s="107"/>
      <c r="J81" s="107"/>
      <c r="K81" s="107"/>
    </row>
    <row r="82" spans="1:11">
      <c r="A82" s="78">
        <v>23</v>
      </c>
      <c r="B82" s="71" t="s">
        <v>101</v>
      </c>
      <c r="C82" s="61" t="s">
        <v>625</v>
      </c>
      <c r="D82" s="587">
        <f>D112/8</f>
        <v>3408628.0463493965</v>
      </c>
      <c r="E82" s="107"/>
      <c r="F82" s="107"/>
      <c r="G82" s="131"/>
      <c r="H82" s="107"/>
      <c r="I82" s="63">
        <f>I112/8</f>
        <v>346156.49078990793</v>
      </c>
      <c r="J82" s="71"/>
      <c r="K82" s="133"/>
    </row>
    <row r="83" spans="1:11">
      <c r="A83" s="78">
        <v>24</v>
      </c>
      <c r="B83" s="71" t="s">
        <v>143</v>
      </c>
      <c r="C83" s="69" t="s">
        <v>981</v>
      </c>
      <c r="D83" s="280">
        <f>'A4-Rate Base'!F107</f>
        <v>60207.051094273898</v>
      </c>
      <c r="E83" s="107"/>
      <c r="F83" s="107"/>
      <c r="G83" s="131"/>
      <c r="H83" s="107"/>
      <c r="I83" s="63">
        <f>D83</f>
        <v>60207.051094273898</v>
      </c>
      <c r="J83" s="107" t="s">
        <v>2</v>
      </c>
      <c r="K83" s="133"/>
    </row>
    <row r="84" spans="1:11" ht="13.5" thickBot="1">
      <c r="A84" s="78">
        <v>25</v>
      </c>
      <c r="B84" s="71" t="s">
        <v>138</v>
      </c>
      <c r="C84" s="51" t="s">
        <v>1089</v>
      </c>
      <c r="D84" s="280">
        <f>'A8-Prepmts'!H33</f>
        <v>107157.3187590544</v>
      </c>
      <c r="E84" s="107"/>
      <c r="F84" s="107"/>
      <c r="G84" s="131"/>
      <c r="H84" s="107"/>
      <c r="I84" s="64">
        <f>D84</f>
        <v>107157.3187590544</v>
      </c>
      <c r="J84" s="107"/>
      <c r="K84" s="133"/>
    </row>
    <row r="85" spans="1:11">
      <c r="A85" s="78">
        <v>26</v>
      </c>
      <c r="B85" s="71" t="s">
        <v>378</v>
      </c>
      <c r="C85" s="52"/>
      <c r="D85" s="586">
        <f>D82+D83+D84</f>
        <v>3575992.4162027249</v>
      </c>
      <c r="E85" s="71"/>
      <c r="F85" s="71"/>
      <c r="G85" s="71"/>
      <c r="H85" s="71"/>
      <c r="I85" s="63">
        <f>I82+I83+I84</f>
        <v>513520.86064323626</v>
      </c>
      <c r="J85" s="71"/>
      <c r="K85" s="71"/>
    </row>
    <row r="86" spans="1:11" ht="13.5" thickBot="1">
      <c r="C86" s="107"/>
      <c r="E86" s="107"/>
      <c r="F86" s="107"/>
      <c r="G86" s="107"/>
      <c r="H86" s="107"/>
      <c r="I86" s="135"/>
      <c r="J86" s="107"/>
      <c r="K86" s="107"/>
    </row>
    <row r="87" spans="1:11" ht="13.5" thickBot="1">
      <c r="A87" s="78">
        <v>27</v>
      </c>
      <c r="B87" s="71" t="s">
        <v>570</v>
      </c>
      <c r="C87" s="107"/>
      <c r="D87" s="70">
        <f>+D85+D79+D77+D61</f>
        <v>153315474.16230777</v>
      </c>
      <c r="E87" s="107"/>
      <c r="F87" s="107"/>
      <c r="G87" s="133"/>
      <c r="H87" s="107"/>
      <c r="I87" s="70">
        <f>+I85+I79+I77+I61</f>
        <v>117804820.04951011</v>
      </c>
      <c r="J87" s="107"/>
      <c r="K87" s="133"/>
    </row>
    <row r="88" spans="1:11" ht="13.5" thickTop="1">
      <c r="B88" s="71"/>
      <c r="C88" s="71"/>
      <c r="D88" s="104"/>
      <c r="E88" s="71"/>
      <c r="F88" s="71"/>
      <c r="G88" s="71"/>
      <c r="H88" s="71"/>
      <c r="I88" s="105"/>
      <c r="J88" s="105"/>
      <c r="K88" s="105"/>
    </row>
    <row r="89" spans="1:11">
      <c r="B89" s="71"/>
      <c r="C89" s="71"/>
      <c r="D89" s="104"/>
      <c r="E89" s="71"/>
      <c r="F89" s="71"/>
      <c r="G89" s="71"/>
      <c r="H89" s="71"/>
      <c r="I89" s="762" t="str">
        <f>I1</f>
        <v>Projected Attachment H</v>
      </c>
      <c r="J89" s="762"/>
      <c r="K89" s="762"/>
    </row>
    <row r="90" spans="1:11">
      <c r="B90" s="71"/>
      <c r="C90" s="71"/>
      <c r="D90" s="104"/>
      <c r="E90" s="71"/>
      <c r="F90" s="71"/>
      <c r="G90" s="71"/>
      <c r="H90" s="71"/>
      <c r="I90" s="71"/>
      <c r="J90" s="761" t="s">
        <v>243</v>
      </c>
      <c r="K90" s="761"/>
    </row>
    <row r="91" spans="1:11">
      <c r="B91" s="71"/>
      <c r="C91" s="71"/>
      <c r="D91" s="104"/>
      <c r="E91" s="71"/>
      <c r="F91" s="71"/>
      <c r="G91" s="71"/>
      <c r="H91" s="71"/>
      <c r="I91" s="71"/>
      <c r="J91" s="71"/>
      <c r="K91" s="105"/>
    </row>
    <row r="92" spans="1:11">
      <c r="B92" s="104" t="s">
        <v>0</v>
      </c>
      <c r="C92" s="78" t="s">
        <v>1</v>
      </c>
      <c r="E92" s="71"/>
      <c r="F92" s="71"/>
      <c r="G92" s="71"/>
      <c r="H92" s="71"/>
      <c r="I92" s="71"/>
      <c r="J92" s="71"/>
      <c r="K92" s="121" t="str">
        <f>K4</f>
        <v>Estimated - For the 12 months ended 12/31/2024</v>
      </c>
    </row>
    <row r="93" spans="1:11">
      <c r="B93" s="71"/>
      <c r="C93" s="108" t="s">
        <v>3</v>
      </c>
      <c r="E93" s="107"/>
      <c r="F93" s="107"/>
      <c r="G93" s="107"/>
      <c r="H93" s="71"/>
      <c r="I93" s="71"/>
      <c r="J93" s="71"/>
      <c r="K93" s="71"/>
    </row>
    <row r="94" spans="1:11">
      <c r="B94" s="71"/>
      <c r="C94" s="107"/>
      <c r="E94" s="107"/>
      <c r="F94" s="107"/>
      <c r="G94" s="107"/>
      <c r="H94" s="71"/>
      <c r="I94" s="71"/>
      <c r="J94" s="71"/>
      <c r="K94" s="71"/>
    </row>
    <row r="95" spans="1:11">
      <c r="A95" s="78"/>
      <c r="C95" s="122" t="str">
        <f>C7</f>
        <v>Cheyenne Light, Fuel &amp; Power</v>
      </c>
      <c r="J95" s="107"/>
      <c r="K95" s="107"/>
    </row>
    <row r="96" spans="1:11">
      <c r="A96" s="78"/>
      <c r="D96" s="136"/>
      <c r="J96" s="107"/>
      <c r="K96" s="107"/>
    </row>
    <row r="97" spans="1:11">
      <c r="A97" s="78"/>
      <c r="B97" s="78" t="s">
        <v>15</v>
      </c>
      <c r="C97" s="78" t="s">
        <v>16</v>
      </c>
      <c r="D97" s="78" t="s">
        <v>17</v>
      </c>
      <c r="E97" s="107" t="s">
        <v>2</v>
      </c>
      <c r="F97" s="107"/>
      <c r="G97" s="123" t="s">
        <v>18</v>
      </c>
      <c r="H97" s="107"/>
      <c r="I97" s="124" t="s">
        <v>19</v>
      </c>
      <c r="J97" s="107"/>
      <c r="K97" s="107"/>
    </row>
    <row r="98" spans="1:11">
      <c r="A98" s="78" t="s">
        <v>4</v>
      </c>
      <c r="B98" s="71"/>
      <c r="C98" s="125" t="s">
        <v>20</v>
      </c>
      <c r="D98" s="107"/>
      <c r="E98" s="107"/>
      <c r="F98" s="107"/>
      <c r="G98" s="78"/>
      <c r="H98" s="107"/>
      <c r="I98" s="126" t="s">
        <v>21</v>
      </c>
      <c r="J98" s="107"/>
      <c r="K98" s="126"/>
    </row>
    <row r="99" spans="1:11" ht="13.5" thickBot="1">
      <c r="A99" s="111" t="s">
        <v>6</v>
      </c>
      <c r="B99" s="71"/>
      <c r="C99" s="127" t="s">
        <v>22</v>
      </c>
      <c r="D99" s="126" t="s">
        <v>23</v>
      </c>
      <c r="E99" s="128"/>
      <c r="F99" s="126" t="s">
        <v>24</v>
      </c>
      <c r="H99" s="128"/>
      <c r="I99" s="78" t="s">
        <v>25</v>
      </c>
      <c r="J99" s="107"/>
      <c r="K99" s="126"/>
    </row>
    <row r="100" spans="1:11">
      <c r="A100" s="78"/>
      <c r="B100" s="71" t="s">
        <v>146</v>
      </c>
      <c r="C100" s="107"/>
      <c r="D100" s="107"/>
      <c r="E100" s="107"/>
      <c r="F100" s="107"/>
      <c r="G100" s="107"/>
      <c r="H100" s="107"/>
      <c r="I100" s="107"/>
      <c r="J100" s="107"/>
      <c r="K100" s="107"/>
    </row>
    <row r="101" spans="1:11">
      <c r="A101" s="78">
        <v>1</v>
      </c>
      <c r="B101" s="71" t="s">
        <v>38</v>
      </c>
      <c r="C101" s="71" t="s">
        <v>626</v>
      </c>
      <c r="D101" s="280">
        <f>'P2-Exp. &amp; Rev. Credits'!F16</f>
        <v>39615017.094696566</v>
      </c>
      <c r="E101" s="107"/>
      <c r="F101" s="107" t="s">
        <v>36</v>
      </c>
      <c r="G101" s="131">
        <f>$I$179</f>
        <v>0.94065578087952562</v>
      </c>
      <c r="H101" s="107"/>
      <c r="I101" s="63">
        <f>+G101*D101</f>
        <v>37264094.839767553</v>
      </c>
      <c r="J101" s="71"/>
      <c r="K101" s="107"/>
    </row>
    <row r="102" spans="1:11">
      <c r="A102" s="78">
        <v>2</v>
      </c>
      <c r="B102" s="71" t="s">
        <v>144</v>
      </c>
      <c r="C102" s="71" t="s">
        <v>627</v>
      </c>
      <c r="D102" s="280">
        <f>'P2-Exp. &amp; Rev. Credits'!F17</f>
        <v>656722.96682939224</v>
      </c>
      <c r="E102" s="107"/>
      <c r="F102" s="107" t="s">
        <v>36</v>
      </c>
      <c r="G102" s="131">
        <f>$I$179</f>
        <v>0.94065578087952562</v>
      </c>
      <c r="H102" s="107"/>
      <c r="I102" s="55">
        <f t="shared" ref="I102:I111" si="2">+G102*D102</f>
        <v>617750.25518442073</v>
      </c>
      <c r="J102" s="71"/>
      <c r="K102" s="107"/>
    </row>
    <row r="103" spans="1:11">
      <c r="A103" s="78" t="s">
        <v>145</v>
      </c>
      <c r="B103" s="71" t="s">
        <v>39</v>
      </c>
      <c r="C103" s="71" t="s">
        <v>628</v>
      </c>
      <c r="D103" s="280">
        <f>'P2-Exp. &amp; Rev. Credits'!F18</f>
        <v>37999188.894017704</v>
      </c>
      <c r="E103" s="107"/>
      <c r="F103" s="107" t="s">
        <v>36</v>
      </c>
      <c r="G103" s="131">
        <f>$I$179</f>
        <v>0.94065578087952562</v>
      </c>
      <c r="H103" s="107"/>
      <c r="I103" s="55">
        <f t="shared" si="2"/>
        <v>35744156.701890819</v>
      </c>
      <c r="J103" s="71"/>
      <c r="K103" s="107"/>
    </row>
    <row r="104" spans="1:11">
      <c r="A104" s="78">
        <v>3</v>
      </c>
      <c r="B104" s="71" t="s">
        <v>40</v>
      </c>
      <c r="C104" s="71" t="s">
        <v>629</v>
      </c>
      <c r="D104" s="280">
        <f>'P2-Exp. &amp; Rev. Credits'!F19</f>
        <v>28114927.515371975</v>
      </c>
      <c r="E104" s="107"/>
      <c r="F104" s="107" t="s">
        <v>31</v>
      </c>
      <c r="G104" s="131">
        <f>$I$187</f>
        <v>7.0964263854582682E-2</v>
      </c>
      <c r="H104" s="107"/>
      <c r="I104" s="63">
        <f t="shared" si="2"/>
        <v>1995155.1344533234</v>
      </c>
      <c r="J104" s="107"/>
      <c r="K104" s="107" t="s">
        <v>2</v>
      </c>
    </row>
    <row r="105" spans="1:11">
      <c r="A105" s="78">
        <v>4</v>
      </c>
      <c r="B105" s="71" t="s">
        <v>1217</v>
      </c>
      <c r="C105" s="71"/>
      <c r="D105" s="107"/>
      <c r="E105" s="107"/>
      <c r="F105" s="115"/>
      <c r="G105" s="131"/>
      <c r="H105" s="107"/>
      <c r="I105" s="55"/>
      <c r="J105" s="107"/>
      <c r="K105" s="107"/>
    </row>
    <row r="106" spans="1:11">
      <c r="A106" s="78">
        <v>5</v>
      </c>
      <c r="B106" s="71" t="s">
        <v>641</v>
      </c>
      <c r="C106" s="71" t="s">
        <v>630</v>
      </c>
      <c r="D106" s="280">
        <f>'P2-Exp. &amp; Rev. Credits'!F21</f>
        <v>1548082.4527382432</v>
      </c>
      <c r="E106" s="107"/>
      <c r="F106" s="115">
        <f>+F105</f>
        <v>0</v>
      </c>
      <c r="G106" s="131">
        <f>$I$187</f>
        <v>7.0964263854582682E-2</v>
      </c>
      <c r="H106" s="107"/>
      <c r="I106" s="55">
        <f t="shared" si="2"/>
        <v>109858.53164476622</v>
      </c>
      <c r="J106" s="107"/>
      <c r="K106" s="107"/>
    </row>
    <row r="107" spans="1:11">
      <c r="A107" s="78" t="s">
        <v>102</v>
      </c>
      <c r="B107" s="71" t="s">
        <v>642</v>
      </c>
      <c r="C107" s="71" t="s">
        <v>631</v>
      </c>
      <c r="D107" s="280">
        <f>'P2-Exp. &amp; Rev. Credits'!F22</f>
        <v>0</v>
      </c>
      <c r="E107" s="107"/>
      <c r="F107" s="137" t="str">
        <f>+F101</f>
        <v>TE</v>
      </c>
      <c r="G107" s="131">
        <f>$I$179</f>
        <v>0.94065578087952562</v>
      </c>
      <c r="H107" s="107"/>
      <c r="I107" s="55">
        <f>+G107*D107</f>
        <v>0</v>
      </c>
      <c r="J107" s="107"/>
      <c r="K107" s="107"/>
    </row>
    <row r="108" spans="1:11">
      <c r="A108" s="78" t="s">
        <v>149</v>
      </c>
      <c r="B108" s="71" t="s">
        <v>930</v>
      </c>
      <c r="C108" s="71" t="s">
        <v>632</v>
      </c>
      <c r="D108" s="280">
        <f>'P2-Exp. &amp; Rev. Credits'!F23</f>
        <v>510002.8064</v>
      </c>
      <c r="E108" s="107"/>
      <c r="F108" s="115" t="s">
        <v>31</v>
      </c>
      <c r="G108" s="131">
        <f>$I$187</f>
        <v>7.0964263854582682E-2</v>
      </c>
      <c r="H108" s="107"/>
      <c r="I108" s="60">
        <f t="shared" ref="I108:I109" si="3">+G108*D108</f>
        <v>36191.973719947251</v>
      </c>
      <c r="J108" s="107"/>
      <c r="K108" s="107"/>
    </row>
    <row r="109" spans="1:11">
      <c r="A109" s="78" t="s">
        <v>150</v>
      </c>
      <c r="B109" s="71" t="s">
        <v>931</v>
      </c>
      <c r="C109" s="71" t="s">
        <v>633</v>
      </c>
      <c r="D109" s="280">
        <f>'P2-Exp. &amp; Rev. Credits'!F24</f>
        <v>766928.73208803218</v>
      </c>
      <c r="E109" s="107"/>
      <c r="F109" s="115" t="str">
        <f>+F108</f>
        <v>W/S</v>
      </c>
      <c r="G109" s="131">
        <f>$I$187</f>
        <v>7.0964263854582682E-2</v>
      </c>
      <c r="H109" s="107"/>
      <c r="I109" s="60">
        <f t="shared" si="3"/>
        <v>54424.532901555671</v>
      </c>
      <c r="J109" s="107"/>
      <c r="K109" s="107"/>
    </row>
    <row r="110" spans="1:11">
      <c r="A110" s="78">
        <v>6</v>
      </c>
      <c r="B110" s="71" t="s">
        <v>32</v>
      </c>
      <c r="C110" s="71" t="s">
        <v>634</v>
      </c>
      <c r="D110" s="280">
        <f>'P2-Exp. &amp; Rev. Credits'!F25</f>
        <v>0</v>
      </c>
      <c r="E110" s="107"/>
      <c r="F110" s="107" t="s">
        <v>67</v>
      </c>
      <c r="G110" s="131">
        <f>K191</f>
        <v>6.9716558849231183E-2</v>
      </c>
      <c r="H110" s="107"/>
      <c r="I110" s="63">
        <f t="shared" si="2"/>
        <v>0</v>
      </c>
      <c r="J110" s="107"/>
      <c r="K110" s="107"/>
    </row>
    <row r="111" spans="1:11" ht="13.5" thickBot="1">
      <c r="A111" s="78">
        <v>7</v>
      </c>
      <c r="B111" s="71" t="s">
        <v>41</v>
      </c>
      <c r="C111" s="71" t="s">
        <v>635</v>
      </c>
      <c r="D111" s="280">
        <f>'P2-Exp. &amp; Rev. Credits'!F26</f>
        <v>0</v>
      </c>
      <c r="E111" s="107"/>
      <c r="F111" s="107" t="s">
        <v>373</v>
      </c>
      <c r="G111" s="131">
        <v>1</v>
      </c>
      <c r="H111" s="107"/>
      <c r="I111" s="64">
        <f t="shared" si="2"/>
        <v>0</v>
      </c>
      <c r="J111" s="107"/>
      <c r="K111" s="107"/>
    </row>
    <row r="112" spans="1:11">
      <c r="A112" s="78">
        <v>8</v>
      </c>
      <c r="B112" s="71" t="s">
        <v>1219</v>
      </c>
      <c r="C112" s="71"/>
      <c r="D112" s="586">
        <f>'P2-Exp. &amp; Rev. Credits'!F27</f>
        <v>27269024.370795172</v>
      </c>
      <c r="E112" s="107"/>
      <c r="F112" s="107"/>
      <c r="G112" s="131"/>
      <c r="H112" s="107"/>
      <c r="I112" s="63">
        <f>+I101-I102-I103+I104-I106+I110+I111+I107+I108-I109</f>
        <v>2769251.9263192634</v>
      </c>
      <c r="J112" s="107"/>
      <c r="K112" s="107"/>
    </row>
    <row r="113" spans="1:11">
      <c r="A113" s="78"/>
      <c r="C113" s="107"/>
      <c r="E113" s="107"/>
      <c r="F113" s="107"/>
      <c r="G113" s="131"/>
      <c r="H113" s="107"/>
      <c r="J113" s="107"/>
      <c r="K113" s="107"/>
    </row>
    <row r="114" spans="1:11">
      <c r="A114" s="78"/>
      <c r="B114" s="71" t="s">
        <v>643</v>
      </c>
      <c r="C114" s="107"/>
      <c r="D114" s="107"/>
      <c r="E114" s="107"/>
      <c r="F114" s="107"/>
      <c r="G114" s="131"/>
      <c r="H114" s="107"/>
      <c r="I114" s="107"/>
      <c r="J114" s="107"/>
      <c r="K114" s="107"/>
    </row>
    <row r="115" spans="1:11">
      <c r="A115" s="78">
        <v>9</v>
      </c>
      <c r="B115" s="134" t="str">
        <f>+B101</f>
        <v xml:space="preserve">  Transmission </v>
      </c>
      <c r="C115" s="51" t="s">
        <v>1211</v>
      </c>
      <c r="D115" s="280">
        <f>'P1-Trans Plant'!E43</f>
        <v>3125114.6403175821</v>
      </c>
      <c r="E115" s="107"/>
      <c r="F115" s="107" t="s">
        <v>11</v>
      </c>
      <c r="G115" s="131">
        <f>$I$170</f>
        <v>0.94993800079121415</v>
      </c>
      <c r="H115" s="107"/>
      <c r="I115" s="63">
        <f>+G115*D115</f>
        <v>2968665.1536666383</v>
      </c>
      <c r="J115" s="107"/>
      <c r="K115" s="133"/>
    </row>
    <row r="116" spans="1:11">
      <c r="A116" s="78">
        <v>10</v>
      </c>
      <c r="B116" s="71" t="s">
        <v>127</v>
      </c>
      <c r="C116" s="71" t="s">
        <v>587</v>
      </c>
      <c r="D116" s="280">
        <f>'Act Att-H'!D120</f>
        <v>2254790</v>
      </c>
      <c r="E116" s="107"/>
      <c r="F116" s="107" t="s">
        <v>31</v>
      </c>
      <c r="G116" s="131">
        <f>+G104</f>
        <v>7.0964263854582682E-2</v>
      </c>
      <c r="H116" s="107"/>
      <c r="I116" s="63">
        <f>+G116*D116</f>
        <v>160009.51249667449</v>
      </c>
      <c r="J116" s="107"/>
      <c r="K116" s="133"/>
    </row>
    <row r="117" spans="1:11">
      <c r="A117" s="78">
        <v>11</v>
      </c>
      <c r="B117" s="134" t="str">
        <f>+B110</f>
        <v xml:space="preserve">  Common</v>
      </c>
      <c r="C117" s="71" t="s">
        <v>598</v>
      </c>
      <c r="D117" s="280">
        <f>'Act Att-H'!D121</f>
        <v>205654</v>
      </c>
      <c r="E117" s="107"/>
      <c r="F117" s="107" t="s">
        <v>67</v>
      </c>
      <c r="G117" s="131">
        <f>+G110</f>
        <v>6.9716558849231183E-2</v>
      </c>
      <c r="H117" s="107"/>
      <c r="I117" s="63">
        <f>+G117*D117</f>
        <v>14337.48919357979</v>
      </c>
      <c r="J117" s="107"/>
      <c r="K117" s="133"/>
    </row>
    <row r="118" spans="1:11" s="2" customFormat="1" ht="13.5" thickBot="1">
      <c r="A118" s="74" t="s">
        <v>383</v>
      </c>
      <c r="B118" s="57" t="s">
        <v>389</v>
      </c>
      <c r="C118" s="71" t="s">
        <v>1128</v>
      </c>
      <c r="D118" s="280">
        <f>'Act Att-H'!D122</f>
        <v>0</v>
      </c>
      <c r="E118" s="55"/>
      <c r="F118" s="73"/>
      <c r="G118" s="652"/>
      <c r="H118" s="55"/>
      <c r="I118" s="68">
        <f>+G118*D118</f>
        <v>0</v>
      </c>
      <c r="J118" s="52"/>
      <c r="K118" s="62"/>
    </row>
    <row r="119" spans="1:11">
      <c r="A119" s="78">
        <v>12</v>
      </c>
      <c r="B119" s="71" t="s">
        <v>390</v>
      </c>
      <c r="C119" s="179" t="s">
        <v>391</v>
      </c>
      <c r="D119" s="588">
        <f>SUM(D115:D118)</f>
        <v>5585558.6403175816</v>
      </c>
      <c r="E119" s="107"/>
      <c r="F119" s="107"/>
      <c r="G119" s="131"/>
      <c r="H119" s="107"/>
      <c r="I119" s="63">
        <f>SUM(I115:I118)</f>
        <v>3143012.1553568924</v>
      </c>
      <c r="J119" s="107"/>
      <c r="K119" s="107"/>
    </row>
    <row r="120" spans="1:11">
      <c r="A120" s="78"/>
      <c r="B120" s="71"/>
      <c r="C120" s="107"/>
      <c r="D120" s="107"/>
      <c r="E120" s="107"/>
      <c r="F120" s="107"/>
      <c r="G120" s="131"/>
      <c r="H120" s="107"/>
      <c r="I120" s="107"/>
      <c r="J120" s="107"/>
      <c r="K120" s="107"/>
    </row>
    <row r="121" spans="1:11">
      <c r="A121" s="78" t="s">
        <v>2</v>
      </c>
      <c r="B121" s="71" t="s">
        <v>644</v>
      </c>
      <c r="D121" s="107"/>
      <c r="E121" s="107"/>
      <c r="F121" s="107"/>
      <c r="G121" s="131"/>
      <c r="H121" s="107"/>
      <c r="I121" s="107"/>
      <c r="J121" s="107"/>
      <c r="K121" s="107"/>
    </row>
    <row r="122" spans="1:11">
      <c r="A122" s="78"/>
      <c r="B122" s="71" t="s">
        <v>42</v>
      </c>
      <c r="C122" s="71"/>
      <c r="E122" s="107"/>
      <c r="F122" s="107"/>
      <c r="G122" s="131"/>
      <c r="H122" s="107"/>
      <c r="J122" s="107"/>
      <c r="K122" s="133"/>
    </row>
    <row r="123" spans="1:11">
      <c r="A123" s="78">
        <v>13</v>
      </c>
      <c r="B123" s="71" t="s">
        <v>43</v>
      </c>
      <c r="C123" s="71" t="s">
        <v>591</v>
      </c>
      <c r="D123" s="280">
        <f>'P2-Exp. &amp; Rev. Credits'!F32</f>
        <v>1484479.8749107067</v>
      </c>
      <c r="E123" s="107"/>
      <c r="F123" s="107" t="s">
        <v>31</v>
      </c>
      <c r="G123" s="131">
        <f>+G116</f>
        <v>7.0964263854582682E-2</v>
      </c>
      <c r="H123" s="107"/>
      <c r="I123" s="63">
        <f>+G123*D123</f>
        <v>105345.02152998128</v>
      </c>
      <c r="J123" s="107"/>
      <c r="K123" s="133"/>
    </row>
    <row r="124" spans="1:11">
      <c r="A124" s="78">
        <v>14</v>
      </c>
      <c r="B124" s="71" t="s">
        <v>44</v>
      </c>
      <c r="C124" s="71" t="s">
        <v>592</v>
      </c>
      <c r="D124" s="280">
        <f>'P2-Exp. &amp; Rev. Credits'!F33</f>
        <v>0</v>
      </c>
      <c r="E124" s="107"/>
      <c r="F124" s="115" t="str">
        <f>+F123</f>
        <v>W/S</v>
      </c>
      <c r="G124" s="131">
        <f>+G123</f>
        <v>7.0964263854582682E-2</v>
      </c>
      <c r="H124" s="107"/>
      <c r="I124" s="63">
        <f>+G124*D124</f>
        <v>0</v>
      </c>
      <c r="J124" s="107"/>
      <c r="K124" s="133"/>
    </row>
    <row r="125" spans="1:11">
      <c r="A125" s="78">
        <v>15</v>
      </c>
      <c r="B125" s="71" t="s">
        <v>45</v>
      </c>
      <c r="C125" s="71" t="s">
        <v>2</v>
      </c>
      <c r="D125" s="107" t="s">
        <v>2</v>
      </c>
      <c r="E125" s="107"/>
      <c r="F125" s="107"/>
      <c r="G125" s="131"/>
      <c r="H125" s="107"/>
      <c r="J125" s="107"/>
      <c r="K125" s="133"/>
    </row>
    <row r="126" spans="1:11">
      <c r="A126" s="78">
        <v>16</v>
      </c>
      <c r="B126" s="71" t="s">
        <v>46</v>
      </c>
      <c r="C126" s="71" t="s">
        <v>593</v>
      </c>
      <c r="D126" s="280">
        <f>'P2-Exp. &amp; Rev. Credits'!F35</f>
        <v>4893346.2574990839</v>
      </c>
      <c r="E126" s="107"/>
      <c r="F126" s="107" t="s">
        <v>37</v>
      </c>
      <c r="G126" s="131">
        <f>$G$234</f>
        <v>0.18371573340764177</v>
      </c>
      <c r="H126" s="107"/>
      <c r="I126" s="63">
        <f>+G126*D126</f>
        <v>898984.6965139833</v>
      </c>
      <c r="J126" s="107"/>
      <c r="K126" s="133"/>
    </row>
    <row r="127" spans="1:11">
      <c r="A127" s="78">
        <v>17</v>
      </c>
      <c r="B127" s="71" t="s">
        <v>47</v>
      </c>
      <c r="C127" s="71" t="s">
        <v>594</v>
      </c>
      <c r="D127" s="280">
        <f>'P2-Exp. &amp; Rev. Credits'!F36</f>
        <v>3308856.7992990762</v>
      </c>
      <c r="E127" s="107"/>
      <c r="F127" s="115" t="s">
        <v>27</v>
      </c>
      <c r="G127" s="131">
        <v>0</v>
      </c>
      <c r="H127" s="107"/>
      <c r="I127" s="63">
        <v>0</v>
      </c>
      <c r="J127" s="107"/>
      <c r="K127" s="133"/>
    </row>
    <row r="128" spans="1:11">
      <c r="A128" s="78">
        <v>18</v>
      </c>
      <c r="B128" s="71" t="s">
        <v>59</v>
      </c>
      <c r="C128" s="71" t="s">
        <v>595</v>
      </c>
      <c r="D128" s="280">
        <f>'P2-Exp. &amp; Rev. Credits'!F37</f>
        <v>0</v>
      </c>
      <c r="E128" s="107"/>
      <c r="F128" s="692"/>
      <c r="G128" s="652"/>
      <c r="H128" s="107"/>
      <c r="I128" s="63">
        <f>+G128*D128</f>
        <v>0</v>
      </c>
      <c r="J128" s="107"/>
      <c r="K128" s="133"/>
    </row>
    <row r="129" spans="1:11" ht="13.5" thickBot="1">
      <c r="A129" s="78">
        <v>19</v>
      </c>
      <c r="B129" s="71" t="s">
        <v>1130</v>
      </c>
      <c r="C129" s="71"/>
      <c r="D129" s="587"/>
      <c r="E129" s="107"/>
      <c r="F129" s="107"/>
      <c r="G129" s="131"/>
      <c r="H129" s="107"/>
      <c r="I129" s="63"/>
      <c r="J129" s="107"/>
      <c r="K129" s="133"/>
    </row>
    <row r="130" spans="1:11">
      <c r="A130" s="78">
        <v>20</v>
      </c>
      <c r="B130" s="71" t="s">
        <v>393</v>
      </c>
      <c r="C130" s="179" t="s">
        <v>392</v>
      </c>
      <c r="D130" s="586">
        <f>SUM(D123:D129)</f>
        <v>9686682.9317088667</v>
      </c>
      <c r="E130" s="107"/>
      <c r="F130" s="107"/>
      <c r="G130" s="131"/>
      <c r="H130" s="107"/>
      <c r="I130" s="72">
        <f>SUM(I123:I129)</f>
        <v>1004329.7180439646</v>
      </c>
      <c r="J130" s="107"/>
      <c r="K130" s="107"/>
    </row>
    <row r="131" spans="1:11">
      <c r="A131" s="78"/>
      <c r="B131" s="71"/>
      <c r="C131" s="107"/>
      <c r="D131" s="107"/>
      <c r="E131" s="107"/>
      <c r="F131" s="107"/>
      <c r="G131" s="131"/>
      <c r="H131" s="107"/>
      <c r="I131" s="107"/>
      <c r="J131" s="107"/>
      <c r="K131" s="107"/>
    </row>
    <row r="132" spans="1:11">
      <c r="A132" s="78" t="s">
        <v>2</v>
      </c>
      <c r="B132" s="71" t="s">
        <v>49</v>
      </c>
      <c r="C132" s="107" t="s">
        <v>636</v>
      </c>
      <c r="D132" s="107"/>
      <c r="E132" s="107"/>
      <c r="G132" s="131"/>
      <c r="H132" s="107"/>
      <c r="J132" s="107"/>
    </row>
    <row r="133" spans="1:11">
      <c r="A133" s="78">
        <v>21</v>
      </c>
      <c r="B133" s="140" t="s">
        <v>98</v>
      </c>
      <c r="C133" s="107"/>
      <c r="D133" s="141">
        <f>IF(D251&gt;0,1-(((1-D252)*(1-D251))/(1-D252*D251*D253)),0)</f>
        <v>0.20999999999999996</v>
      </c>
      <c r="E133" s="107"/>
      <c r="G133" s="131"/>
      <c r="H133" s="107"/>
      <c r="J133" s="107"/>
    </row>
    <row r="134" spans="1:11">
      <c r="A134" s="78">
        <v>22</v>
      </c>
      <c r="B134" s="103" t="s">
        <v>946</v>
      </c>
      <c r="C134" s="107"/>
      <c r="D134" s="141">
        <f>IF(I211&gt;0,(D133/(1-D133))*(1-I208/I211),0)</f>
        <v>0.1605429368036361</v>
      </c>
      <c r="E134" s="107"/>
      <c r="G134" s="131"/>
      <c r="H134" s="107"/>
      <c r="J134" s="107"/>
    </row>
    <row r="135" spans="1:11">
      <c r="A135" s="78"/>
      <c r="B135" s="71" t="s">
        <v>148</v>
      </c>
      <c r="C135" s="107"/>
      <c r="D135" s="107"/>
      <c r="E135" s="107"/>
      <c r="G135" s="131"/>
      <c r="H135" s="107"/>
      <c r="J135" s="107"/>
    </row>
    <row r="136" spans="1:11">
      <c r="A136" s="78"/>
      <c r="B136" s="71" t="s">
        <v>637</v>
      </c>
      <c r="C136" s="107"/>
      <c r="D136" s="107"/>
      <c r="E136" s="107"/>
      <c r="G136" s="131"/>
      <c r="H136" s="107"/>
      <c r="J136" s="107"/>
    </row>
    <row r="137" spans="1:11">
      <c r="A137" s="78">
        <v>23</v>
      </c>
      <c r="B137" s="140" t="s">
        <v>99</v>
      </c>
      <c r="C137" s="107"/>
      <c r="D137" s="589">
        <f>IF(D133&gt;0,1/(1-D133),0)</f>
        <v>1.2658227848101264</v>
      </c>
      <c r="E137" s="107"/>
      <c r="G137" s="131"/>
      <c r="H137" s="107"/>
      <c r="J137" s="107"/>
    </row>
    <row r="138" spans="1:11">
      <c r="A138" s="78">
        <v>24</v>
      </c>
      <c r="B138" s="71" t="s">
        <v>944</v>
      </c>
      <c r="C138" s="71" t="s">
        <v>599</v>
      </c>
      <c r="D138" s="280">
        <f>'Act Att-H'!D142</f>
        <v>2250</v>
      </c>
      <c r="E138" s="107"/>
      <c r="G138" s="131"/>
      <c r="H138" s="107"/>
      <c r="J138" s="107"/>
    </row>
    <row r="139" spans="1:11">
      <c r="A139" s="78" t="s">
        <v>384</v>
      </c>
      <c r="B139" s="54" t="s">
        <v>1199</v>
      </c>
      <c r="C139" s="71" t="s">
        <v>1009</v>
      </c>
      <c r="D139" s="280">
        <f>'Act Att-H'!D143</f>
        <v>95264.263039999991</v>
      </c>
      <c r="E139" s="107"/>
      <c r="G139" s="131"/>
      <c r="H139" s="107"/>
      <c r="J139" s="107"/>
    </row>
    <row r="140" spans="1:11">
      <c r="A140" s="78" t="s">
        <v>831</v>
      </c>
      <c r="B140" s="54" t="s">
        <v>1200</v>
      </c>
      <c r="C140" s="71" t="s">
        <v>1022</v>
      </c>
      <c r="D140" s="280">
        <f>'Act Att-H'!D144</f>
        <v>19930.266428099931</v>
      </c>
      <c r="E140" s="107"/>
      <c r="G140" s="131"/>
      <c r="H140" s="107"/>
      <c r="J140" s="107"/>
    </row>
    <row r="141" spans="1:11">
      <c r="A141" s="78" t="s">
        <v>385</v>
      </c>
      <c r="B141" s="54" t="s">
        <v>382</v>
      </c>
      <c r="C141" s="71" t="s">
        <v>600</v>
      </c>
      <c r="D141" s="280">
        <f>'Act Att-H'!D145</f>
        <v>4185.3559499009843</v>
      </c>
      <c r="E141" s="107"/>
      <c r="G141" s="131"/>
      <c r="H141" s="107"/>
      <c r="J141" s="107"/>
    </row>
    <row r="142" spans="1:11">
      <c r="A142" s="78">
        <v>25</v>
      </c>
      <c r="B142" s="140" t="s">
        <v>396</v>
      </c>
      <c r="C142" s="142" t="s">
        <v>394</v>
      </c>
      <c r="D142" s="587">
        <f>D134*D149</f>
        <v>2258517.7676139371</v>
      </c>
      <c r="E142" s="107"/>
      <c r="F142" s="107"/>
      <c r="G142" s="131"/>
      <c r="H142" s="107"/>
      <c r="I142" s="63">
        <f>D134*I149</f>
        <v>1735403.9482714678</v>
      </c>
      <c r="J142" s="107"/>
      <c r="K142" s="143" t="s">
        <v>2</v>
      </c>
    </row>
    <row r="143" spans="1:11">
      <c r="A143" s="78">
        <v>26</v>
      </c>
      <c r="B143" s="103" t="s">
        <v>397</v>
      </c>
      <c r="C143" s="142" t="s">
        <v>395</v>
      </c>
      <c r="D143" s="587">
        <f>D137*D138</f>
        <v>2848.1012658227846</v>
      </c>
      <c r="E143" s="107"/>
      <c r="F143" s="52" t="s">
        <v>37</v>
      </c>
      <c r="G143" s="131">
        <f>$G$234</f>
        <v>0.18371573340764177</v>
      </c>
      <c r="H143" s="107"/>
      <c r="I143" s="63">
        <f>G143*D143</f>
        <v>523.24101286986581</v>
      </c>
      <c r="J143" s="107"/>
      <c r="K143" s="143"/>
    </row>
    <row r="144" spans="1:11">
      <c r="A144" s="78" t="s">
        <v>398</v>
      </c>
      <c r="B144" s="61" t="s">
        <v>400</v>
      </c>
      <c r="C144" s="76" t="s">
        <v>402</v>
      </c>
      <c r="D144" s="587">
        <f>D137*D139</f>
        <v>120587.67473417718</v>
      </c>
      <c r="E144" s="107"/>
      <c r="G144" s="131"/>
      <c r="H144" s="107"/>
      <c r="I144" s="63">
        <f>D144</f>
        <v>120587.67473417718</v>
      </c>
      <c r="J144" s="107"/>
      <c r="K144" s="143"/>
    </row>
    <row r="145" spans="1:11">
      <c r="A145" s="78" t="s">
        <v>399</v>
      </c>
      <c r="B145" s="61" t="s">
        <v>401</v>
      </c>
      <c r="C145" s="76" t="s">
        <v>403</v>
      </c>
      <c r="D145" s="587">
        <f>D137*D141</f>
        <v>5297.9189239252964</v>
      </c>
      <c r="E145" s="107"/>
      <c r="G145" s="131"/>
      <c r="H145" s="107"/>
      <c r="I145" s="63">
        <f>D145</f>
        <v>5297.9189239252964</v>
      </c>
      <c r="J145" s="107"/>
      <c r="K145" s="143"/>
    </row>
    <row r="146" spans="1:11">
      <c r="A146" s="78">
        <v>27</v>
      </c>
      <c r="B146" s="140" t="s">
        <v>92</v>
      </c>
      <c r="C146" s="61" t="s">
        <v>945</v>
      </c>
      <c r="D146" s="588">
        <f>D142+D145-D143-D144</f>
        <v>2140379.9105378622</v>
      </c>
      <c r="E146" s="107"/>
      <c r="F146" s="107" t="s">
        <v>2</v>
      </c>
      <c r="G146" s="131" t="s">
        <v>2</v>
      </c>
      <c r="H146" s="107"/>
      <c r="I146" s="588">
        <f>I142+I145-I143-I144</f>
        <v>1619590.951448346</v>
      </c>
      <c r="J146" s="107"/>
      <c r="K146" s="107"/>
    </row>
    <row r="147" spans="1:11">
      <c r="A147" s="78" t="s">
        <v>2</v>
      </c>
      <c r="C147" s="144"/>
      <c r="D147" s="587"/>
      <c r="E147" s="107"/>
      <c r="F147" s="107"/>
      <c r="G147" s="131"/>
      <c r="H147" s="107"/>
      <c r="I147" s="107"/>
      <c r="J147" s="107"/>
      <c r="K147" s="107"/>
    </row>
    <row r="148" spans="1:11">
      <c r="B148" s="71" t="s">
        <v>50</v>
      </c>
      <c r="C148" s="133"/>
      <c r="G148" s="131"/>
      <c r="J148" s="107"/>
    </row>
    <row r="149" spans="1:11">
      <c r="A149" s="78">
        <v>28</v>
      </c>
      <c r="B149" s="140" t="s">
        <v>708</v>
      </c>
      <c r="C149" s="719" t="s">
        <v>1124</v>
      </c>
      <c r="D149" s="63">
        <f>+$I211*D87+I214</f>
        <v>14067998.334778091</v>
      </c>
      <c r="E149" s="107"/>
      <c r="F149" s="107"/>
      <c r="G149" s="131"/>
      <c r="H149" s="107"/>
      <c r="I149" s="383">
        <f>+$I211*I87+I214</f>
        <v>10809593.886986643</v>
      </c>
      <c r="J149" s="107"/>
      <c r="K149" s="133"/>
    </row>
    <row r="150" spans="1:11">
      <c r="A150" s="78"/>
      <c r="B150" s="71"/>
      <c r="D150" s="107"/>
      <c r="E150" s="107"/>
      <c r="F150" s="107"/>
      <c r="G150" s="139"/>
      <c r="H150" s="107"/>
      <c r="I150" s="107"/>
      <c r="J150" s="107"/>
      <c r="K150" s="133"/>
    </row>
    <row r="151" spans="1:11" ht="13.5" thickBot="1">
      <c r="A151" s="78">
        <v>29</v>
      </c>
      <c r="B151" s="71" t="s">
        <v>405</v>
      </c>
      <c r="C151" s="107" t="s">
        <v>404</v>
      </c>
      <c r="D151" s="77">
        <f>+D112+D119+D130+D146+D149</f>
        <v>58749644.188137576</v>
      </c>
      <c r="E151" s="107"/>
      <c r="F151" s="107"/>
      <c r="G151" s="107"/>
      <c r="H151" s="107"/>
      <c r="I151" s="77">
        <f>+I112+I119+I130+I146+I149</f>
        <v>19345778.63815511</v>
      </c>
      <c r="J151" s="71"/>
      <c r="K151" s="71"/>
    </row>
    <row r="152" spans="1:11" ht="13.5" thickTop="1">
      <c r="A152" s="78"/>
      <c r="B152" s="71"/>
      <c r="C152" s="107"/>
      <c r="D152" s="115"/>
      <c r="E152" s="107"/>
      <c r="F152" s="107"/>
      <c r="G152" s="107"/>
      <c r="H152" s="107"/>
      <c r="I152" s="115"/>
      <c r="J152" s="71"/>
      <c r="K152" s="71"/>
    </row>
    <row r="153" spans="1:11">
      <c r="B153" s="71"/>
      <c r="C153" s="71"/>
      <c r="D153" s="104"/>
      <c r="E153" s="71"/>
      <c r="F153" s="761"/>
      <c r="G153" s="761"/>
      <c r="H153" s="761"/>
      <c r="I153" s="761"/>
      <c r="J153" s="761"/>
      <c r="K153" s="761"/>
    </row>
    <row r="154" spans="1:11">
      <c r="B154" s="71"/>
      <c r="C154" s="71"/>
      <c r="D154" s="104"/>
      <c r="E154" s="71"/>
      <c r="F154" s="71"/>
      <c r="G154" s="71"/>
      <c r="H154" s="71"/>
      <c r="I154" s="762" t="str">
        <f>I1</f>
        <v>Projected Attachment H</v>
      </c>
      <c r="J154" s="762"/>
      <c r="K154" s="762"/>
    </row>
    <row r="155" spans="1:11">
      <c r="B155" s="71"/>
      <c r="C155" s="71"/>
      <c r="D155" s="104"/>
      <c r="E155" s="71"/>
      <c r="F155" s="71"/>
      <c r="G155" s="71"/>
      <c r="H155" s="71"/>
      <c r="I155" s="71"/>
      <c r="J155" s="761" t="s">
        <v>244</v>
      </c>
      <c r="K155" s="761"/>
    </row>
    <row r="156" spans="1:11">
      <c r="B156" s="71"/>
      <c r="C156" s="71"/>
      <c r="D156" s="104"/>
      <c r="E156" s="71"/>
      <c r="F156" s="71"/>
      <c r="G156" s="71"/>
      <c r="H156" s="71"/>
      <c r="I156" s="71"/>
      <c r="J156" s="105"/>
      <c r="K156" s="105"/>
    </row>
    <row r="157" spans="1:11">
      <c r="B157" s="104" t="s">
        <v>0</v>
      </c>
      <c r="C157" s="78" t="s">
        <v>1</v>
      </c>
      <c r="E157" s="71"/>
      <c r="F157" s="71"/>
      <c r="G157" s="768" t="str">
        <f>K4</f>
        <v>Estimated - For the 12 months ended 12/31/2024</v>
      </c>
      <c r="H157" s="768"/>
      <c r="I157" s="768"/>
      <c r="J157" s="768"/>
      <c r="K157" s="768"/>
    </row>
    <row r="158" spans="1:11">
      <c r="B158" s="71"/>
      <c r="C158" s="108" t="s">
        <v>3</v>
      </c>
      <c r="E158" s="107"/>
      <c r="F158" s="107"/>
      <c r="G158" s="107"/>
      <c r="H158" s="71"/>
      <c r="I158" s="71"/>
      <c r="J158" s="71"/>
      <c r="K158" s="71"/>
    </row>
    <row r="159" spans="1:11" ht="9" customHeight="1">
      <c r="A159" s="78"/>
      <c r="J159" s="107"/>
      <c r="K159" s="107"/>
    </row>
    <row r="160" spans="1:11">
      <c r="A160" s="78"/>
      <c r="C160" s="122" t="str">
        <f>C7</f>
        <v>Cheyenne Light, Fuel &amp; Power</v>
      </c>
      <c r="J160" s="107"/>
      <c r="K160" s="107"/>
    </row>
    <row r="161" spans="1:19">
      <c r="A161" s="78"/>
      <c r="C161" s="136"/>
      <c r="J161" s="107"/>
      <c r="K161" s="107"/>
    </row>
    <row r="162" spans="1:19">
      <c r="A162" s="78"/>
      <c r="C162" s="126" t="s">
        <v>139</v>
      </c>
      <c r="E162" s="71"/>
      <c r="F162" s="71"/>
      <c r="G162" s="71"/>
      <c r="H162" s="71"/>
      <c r="I162" s="71"/>
      <c r="J162" s="107"/>
      <c r="K162" s="107"/>
    </row>
    <row r="163" spans="1:19">
      <c r="A163" s="78" t="s">
        <v>4</v>
      </c>
      <c r="B163" s="78" t="s">
        <v>15</v>
      </c>
      <c r="C163" s="78" t="s">
        <v>16</v>
      </c>
      <c r="D163" s="78" t="s">
        <v>17</v>
      </c>
      <c r="E163" s="107" t="s">
        <v>2</v>
      </c>
      <c r="F163" s="107"/>
      <c r="G163" s="123" t="s">
        <v>18</v>
      </c>
      <c r="H163" s="107"/>
      <c r="I163" s="124" t="s">
        <v>19</v>
      </c>
      <c r="J163" s="107"/>
      <c r="K163" s="107"/>
    </row>
    <row r="164" spans="1:19" ht="13.5" thickBot="1">
      <c r="A164" s="111" t="s">
        <v>6</v>
      </c>
      <c r="B164" s="71" t="s">
        <v>131</v>
      </c>
      <c r="C164" s="71"/>
      <c r="D164" s="71"/>
      <c r="E164" s="71"/>
      <c r="F164" s="71"/>
      <c r="G164" s="71"/>
      <c r="J164" s="107"/>
      <c r="K164" s="107"/>
    </row>
    <row r="165" spans="1:19">
      <c r="A165" s="78">
        <v>1</v>
      </c>
      <c r="B165" s="71" t="s">
        <v>407</v>
      </c>
      <c r="C165" s="71" t="s">
        <v>615</v>
      </c>
      <c r="D165" s="107"/>
      <c r="E165" s="107"/>
      <c r="F165" s="107"/>
      <c r="G165" s="107"/>
      <c r="H165" s="107"/>
      <c r="I165" s="280">
        <f>'Act Att-H'!I169</f>
        <v>86957649.413846165</v>
      </c>
      <c r="J165" s="107"/>
      <c r="K165" s="107"/>
    </row>
    <row r="166" spans="1:19">
      <c r="A166" s="78">
        <v>2</v>
      </c>
      <c r="B166" s="71" t="s">
        <v>408</v>
      </c>
      <c r="C166" s="71" t="s">
        <v>616</v>
      </c>
      <c r="I166" s="280">
        <f>'Act Att-H'!I170</f>
        <v>0</v>
      </c>
      <c r="J166" s="107"/>
      <c r="K166" s="107"/>
    </row>
    <row r="167" spans="1:19">
      <c r="A167" s="78">
        <v>3</v>
      </c>
      <c r="B167" s="71" t="s">
        <v>409</v>
      </c>
      <c r="C167" s="71" t="s">
        <v>617</v>
      </c>
      <c r="D167" s="107"/>
      <c r="E167" s="107"/>
      <c r="F167" s="107"/>
      <c r="G167" s="108"/>
      <c r="H167" s="107"/>
      <c r="I167" s="280">
        <f>'Act Att-H'!I171</f>
        <v>4353273.7761538448</v>
      </c>
      <c r="J167" s="107"/>
      <c r="K167" s="107"/>
    </row>
    <row r="168" spans="1:19">
      <c r="A168" s="78">
        <v>4</v>
      </c>
      <c r="B168" s="181" t="s">
        <v>410</v>
      </c>
      <c r="C168" s="181" t="s">
        <v>411</v>
      </c>
      <c r="D168" s="107"/>
      <c r="E168" s="107"/>
      <c r="F168" s="107"/>
      <c r="G168" s="108"/>
      <c r="H168" s="107"/>
      <c r="I168" s="180">
        <f>I165-I166-I167</f>
        <v>82604375.637692317</v>
      </c>
      <c r="J168" s="107"/>
      <c r="K168" s="107"/>
    </row>
    <row r="169" spans="1:19" ht="9" customHeight="1">
      <c r="A169" s="78"/>
      <c r="C169" s="71"/>
      <c r="D169" s="107"/>
      <c r="E169" s="107"/>
      <c r="F169" s="107"/>
      <c r="G169" s="108"/>
      <c r="H169" s="107"/>
      <c r="J169" s="107"/>
      <c r="K169" s="107"/>
    </row>
    <row r="170" spans="1:19">
      <c r="A170" s="78">
        <v>5</v>
      </c>
      <c r="B170" s="71" t="s">
        <v>412</v>
      </c>
      <c r="C170" s="110" t="s">
        <v>413</v>
      </c>
      <c r="D170" s="110"/>
      <c r="E170" s="110"/>
      <c r="F170" s="110"/>
      <c r="G170" s="124"/>
      <c r="H170" s="107" t="s">
        <v>53</v>
      </c>
      <c r="I170" s="147">
        <f>IF(I165&gt;0,I168/I165,0)</f>
        <v>0.94993800079121415</v>
      </c>
      <c r="J170" s="107"/>
      <c r="K170" s="107"/>
      <c r="N170" s="148"/>
      <c r="O170" s="148"/>
      <c r="P170" s="148"/>
    </row>
    <row r="171" spans="1:19" ht="9" customHeight="1">
      <c r="A171" s="78"/>
      <c r="J171" s="107"/>
      <c r="K171" s="107"/>
      <c r="N171" s="71"/>
      <c r="P171" s="107"/>
      <c r="Q171" s="71"/>
    </row>
    <row r="172" spans="1:19">
      <c r="A172" s="78"/>
      <c r="B172" s="71" t="s">
        <v>51</v>
      </c>
      <c r="J172" s="107"/>
      <c r="K172" s="107"/>
      <c r="N172" s="803"/>
      <c r="O172" s="803"/>
      <c r="P172" s="803"/>
      <c r="Q172" s="803"/>
      <c r="R172" s="803"/>
      <c r="S172" s="803"/>
    </row>
    <row r="173" spans="1:19">
      <c r="A173" s="78">
        <v>6</v>
      </c>
      <c r="B173" s="103" t="s">
        <v>414</v>
      </c>
      <c r="C173" s="103" t="s">
        <v>424</v>
      </c>
      <c r="D173" s="71"/>
      <c r="E173" s="71"/>
      <c r="F173" s="71"/>
      <c r="G173" s="78"/>
      <c r="H173" s="71"/>
      <c r="I173" s="280">
        <f>D101</f>
        <v>39615017.094696566</v>
      </c>
      <c r="J173" s="107"/>
      <c r="K173" s="107"/>
      <c r="P173" s="107"/>
      <c r="Q173" s="71"/>
    </row>
    <row r="174" spans="1:19">
      <c r="A174" s="78">
        <v>7</v>
      </c>
      <c r="B174" s="71" t="s">
        <v>423</v>
      </c>
      <c r="C174" s="71" t="s">
        <v>618</v>
      </c>
      <c r="D174" s="107"/>
      <c r="E174" s="107"/>
      <c r="F174" s="107"/>
      <c r="G174" s="107"/>
      <c r="H174" s="107"/>
      <c r="I174" s="280">
        <f>'Act Att-H'!I178</f>
        <v>387094</v>
      </c>
      <c r="J174" s="107"/>
      <c r="K174" s="107"/>
      <c r="N174" s="150"/>
      <c r="O174" s="151"/>
      <c r="P174" s="107"/>
      <c r="Q174" s="71"/>
    </row>
    <row r="175" spans="1:19">
      <c r="A175" s="78">
        <v>8</v>
      </c>
      <c r="B175" s="181" t="s">
        <v>416</v>
      </c>
      <c r="C175" s="183" t="s">
        <v>415</v>
      </c>
      <c r="D175" s="110"/>
      <c r="E175" s="110"/>
      <c r="F175" s="110"/>
      <c r="G175" s="124"/>
      <c r="H175" s="110"/>
      <c r="I175" s="180">
        <f>+I173-I174</f>
        <v>39227923.094696566</v>
      </c>
      <c r="N175" s="152"/>
      <c r="O175" s="153"/>
      <c r="P175" s="154"/>
      <c r="Q175" s="154"/>
    </row>
    <row r="176" spans="1:19">
      <c r="A176" s="78"/>
      <c r="B176" s="71"/>
      <c r="C176" s="71"/>
      <c r="D176" s="107"/>
      <c r="E176" s="107"/>
      <c r="F176" s="107"/>
      <c r="G176" s="107"/>
      <c r="N176" s="152"/>
      <c r="O176" s="153"/>
    </row>
    <row r="177" spans="1:17">
      <c r="A177" s="78">
        <v>9</v>
      </c>
      <c r="B177" s="71" t="s">
        <v>417</v>
      </c>
      <c r="C177" s="71" t="s">
        <v>425</v>
      </c>
      <c r="D177" s="107"/>
      <c r="E177" s="107"/>
      <c r="F177" s="107"/>
      <c r="G177" s="107"/>
      <c r="H177" s="107"/>
      <c r="I177" s="131">
        <f>IF(I173&gt;0,I175/I173,0)</f>
        <v>0.990228604494233</v>
      </c>
      <c r="N177" s="71"/>
      <c r="O177" s="155"/>
      <c r="P177" s="153"/>
      <c r="Q177" s="153"/>
    </row>
    <row r="178" spans="1:17">
      <c r="A178" s="78">
        <v>10</v>
      </c>
      <c r="B178" s="71" t="s">
        <v>418</v>
      </c>
      <c r="C178" s="71" t="s">
        <v>419</v>
      </c>
      <c r="D178" s="107"/>
      <c r="E178" s="107"/>
      <c r="F178" s="107"/>
      <c r="G178" s="107"/>
      <c r="H178" s="71" t="s">
        <v>11</v>
      </c>
      <c r="I178" s="131">
        <f>I170</f>
        <v>0.94993800079121415</v>
      </c>
      <c r="N178" s="150"/>
      <c r="O178" s="153"/>
      <c r="Q178" s="153"/>
    </row>
    <row r="179" spans="1:17">
      <c r="A179" s="78">
        <v>11</v>
      </c>
      <c r="B179" s="71" t="s">
        <v>421</v>
      </c>
      <c r="C179" s="71" t="s">
        <v>420</v>
      </c>
      <c r="D179" s="71"/>
      <c r="E179" s="71"/>
      <c r="F179" s="71"/>
      <c r="G179" s="71"/>
      <c r="H179" s="71" t="s">
        <v>52</v>
      </c>
      <c r="I179" s="114">
        <f>+I178*I177</f>
        <v>0.94065578087952562</v>
      </c>
      <c r="N179" s="150"/>
      <c r="O179" s="153"/>
      <c r="Q179" s="153"/>
    </row>
    <row r="180" spans="1:17">
      <c r="A180" s="78"/>
      <c r="C180" s="71"/>
      <c r="D180" s="107"/>
      <c r="E180" s="107"/>
      <c r="F180" s="107"/>
      <c r="G180" s="108"/>
      <c r="H180" s="107"/>
      <c r="N180" s="150"/>
      <c r="O180" s="153"/>
      <c r="Q180" s="156"/>
    </row>
    <row r="181" spans="1:17">
      <c r="A181" s="78" t="s">
        <v>2</v>
      </c>
      <c r="B181" s="71" t="s">
        <v>54</v>
      </c>
      <c r="C181" s="107"/>
      <c r="D181" s="107"/>
      <c r="E181" s="107"/>
      <c r="F181" s="107"/>
      <c r="G181" s="107"/>
      <c r="H181" s="107"/>
      <c r="I181" s="107"/>
      <c r="J181" s="107"/>
      <c r="K181" s="107"/>
      <c r="N181" s="152"/>
      <c r="O181" s="153"/>
      <c r="P181" s="107"/>
      <c r="Q181" s="71"/>
    </row>
    <row r="182" spans="1:17" ht="13.5" thickBot="1">
      <c r="A182" s="78" t="s">
        <v>2</v>
      </c>
      <c r="B182" s="71"/>
      <c r="C182" s="157" t="s">
        <v>578</v>
      </c>
      <c r="D182" s="158" t="s">
        <v>56</v>
      </c>
      <c r="E182" s="158" t="s">
        <v>11</v>
      </c>
      <c r="F182" s="107"/>
      <c r="G182" s="158" t="s">
        <v>57</v>
      </c>
      <c r="H182" s="107"/>
      <c r="I182" s="107"/>
      <c r="J182" s="107"/>
      <c r="K182" s="107"/>
      <c r="N182" s="152"/>
      <c r="O182" s="153"/>
      <c r="P182" s="107"/>
      <c r="Q182" s="71"/>
    </row>
    <row r="183" spans="1:17">
      <c r="A183" s="78">
        <v>12</v>
      </c>
      <c r="B183" s="71" t="s">
        <v>26</v>
      </c>
      <c r="C183" s="71" t="s">
        <v>601</v>
      </c>
      <c r="D183" s="280">
        <f>'Act Att-H'!D187</f>
        <v>3223348.0850000004</v>
      </c>
      <c r="E183" s="159">
        <v>0</v>
      </c>
      <c r="F183" s="159"/>
      <c r="G183" s="115">
        <f>D183*E183</f>
        <v>0</v>
      </c>
      <c r="H183" s="107"/>
      <c r="I183" s="107"/>
      <c r="J183" s="107"/>
      <c r="K183" s="107"/>
    </row>
    <row r="184" spans="1:17">
      <c r="A184" s="78">
        <v>13</v>
      </c>
      <c r="B184" s="71" t="s">
        <v>28</v>
      </c>
      <c r="C184" s="71" t="s">
        <v>602</v>
      </c>
      <c r="D184" s="280">
        <f>'Act Att-H'!D188</f>
        <v>445557.56</v>
      </c>
      <c r="E184" s="160">
        <f>+I170</f>
        <v>0.94993800079121415</v>
      </c>
      <c r="F184" s="159"/>
      <c r="G184" s="115">
        <f>D184*E184</f>
        <v>423252.05778381147</v>
      </c>
      <c r="H184" s="107"/>
      <c r="I184" s="107"/>
      <c r="J184" s="107"/>
      <c r="K184" s="107"/>
    </row>
    <row r="185" spans="1:17">
      <c r="A185" s="78">
        <v>14</v>
      </c>
      <c r="B185" s="71" t="s">
        <v>29</v>
      </c>
      <c r="C185" s="71" t="s">
        <v>603</v>
      </c>
      <c r="D185" s="280">
        <f>'Act Att-H'!D189</f>
        <v>1820077.38</v>
      </c>
      <c r="E185" s="159">
        <v>0</v>
      </c>
      <c r="F185" s="159"/>
      <c r="G185" s="115">
        <f>D185*E185</f>
        <v>0</v>
      </c>
      <c r="H185" s="107"/>
      <c r="I185" s="108" t="s">
        <v>58</v>
      </c>
      <c r="J185" s="107"/>
      <c r="K185" s="107"/>
    </row>
    <row r="186" spans="1:17" ht="13.5" thickBot="1">
      <c r="A186" s="78">
        <v>15</v>
      </c>
      <c r="B186" s="71" t="s">
        <v>59</v>
      </c>
      <c r="C186" s="71" t="s">
        <v>604</v>
      </c>
      <c r="D186" s="280">
        <f>'Act Att-H'!D190</f>
        <v>475315.55</v>
      </c>
      <c r="E186" s="159">
        <v>0</v>
      </c>
      <c r="F186" s="159"/>
      <c r="G186" s="161">
        <f>D186*E186</f>
        <v>0</v>
      </c>
      <c r="H186" s="107"/>
      <c r="I186" s="111" t="s">
        <v>60</v>
      </c>
      <c r="J186" s="107"/>
      <c r="K186" s="107"/>
    </row>
    <row r="187" spans="1:17">
      <c r="A187" s="78">
        <v>16</v>
      </c>
      <c r="B187" s="71" t="s">
        <v>427</v>
      </c>
      <c r="C187" s="107" t="s">
        <v>426</v>
      </c>
      <c r="D187" s="180">
        <f>SUM(D183:D186)</f>
        <v>5964298.5750000002</v>
      </c>
      <c r="E187" s="107"/>
      <c r="F187" s="107"/>
      <c r="G187" s="115">
        <f>SUM(G183:G186)</f>
        <v>423252.05778381147</v>
      </c>
      <c r="H187" s="78" t="s">
        <v>61</v>
      </c>
      <c r="I187" s="131">
        <f>IF(G187&gt;0,G187/D187,0)</f>
        <v>7.0964263854582682E-2</v>
      </c>
      <c r="J187" s="108" t="s">
        <v>61</v>
      </c>
      <c r="K187" s="143" t="s">
        <v>100</v>
      </c>
    </row>
    <row r="188" spans="1:17" ht="9" customHeight="1">
      <c r="A188" s="78"/>
      <c r="B188" s="71"/>
      <c r="C188" s="107"/>
      <c r="D188" s="107"/>
      <c r="E188" s="107"/>
      <c r="F188" s="107"/>
      <c r="G188" s="107"/>
      <c r="H188" s="107"/>
      <c r="I188" s="107"/>
      <c r="J188" s="107"/>
      <c r="K188" s="107"/>
    </row>
    <row r="189" spans="1:17">
      <c r="A189" s="78"/>
      <c r="B189" s="71" t="s">
        <v>153</v>
      </c>
      <c r="C189" s="107"/>
      <c r="D189" s="108" t="s">
        <v>56</v>
      </c>
      <c r="E189" s="107"/>
      <c r="F189" s="107"/>
      <c r="G189" s="108" t="s">
        <v>62</v>
      </c>
      <c r="H189" s="139" t="s">
        <v>2</v>
      </c>
      <c r="I189" s="132" t="str">
        <f>+I185</f>
        <v>W&amp;S Allocator</v>
      </c>
      <c r="J189" s="107"/>
      <c r="K189" s="107"/>
    </row>
    <row r="190" spans="1:17">
      <c r="A190" s="78">
        <v>17</v>
      </c>
      <c r="B190" s="71" t="s">
        <v>63</v>
      </c>
      <c r="C190" s="71" t="s">
        <v>605</v>
      </c>
      <c r="D190" s="280">
        <f>'Act Att-H'!D194</f>
        <v>703226217.15999985</v>
      </c>
      <c r="E190" s="107"/>
      <c r="G190" s="78" t="s">
        <v>65</v>
      </c>
      <c r="H190" s="139"/>
      <c r="I190" s="78" t="s">
        <v>66</v>
      </c>
      <c r="J190" s="107"/>
      <c r="K190" s="78" t="s">
        <v>67</v>
      </c>
    </row>
    <row r="191" spans="1:17">
      <c r="A191" s="78">
        <v>18</v>
      </c>
      <c r="B191" s="71" t="s">
        <v>68</v>
      </c>
      <c r="C191" s="71" t="s">
        <v>606</v>
      </c>
      <c r="D191" s="280">
        <f>'Act Att-H'!D195</f>
        <v>0</v>
      </c>
      <c r="E191" s="107"/>
      <c r="G191" s="114">
        <f>IF(D193&gt;0,D190/D193,0)</f>
        <v>0.9824178405076075</v>
      </c>
      <c r="H191" s="108" t="s">
        <v>69</v>
      </c>
      <c r="I191" s="114">
        <f>I187</f>
        <v>7.0964263854582682E-2</v>
      </c>
      <c r="J191" s="139" t="s">
        <v>61</v>
      </c>
      <c r="K191" s="162">
        <f>I191*G191</f>
        <v>6.9716558849231183E-2</v>
      </c>
    </row>
    <row r="192" spans="1:17">
      <c r="A192" s="78">
        <v>19</v>
      </c>
      <c r="B192" s="71" t="s">
        <v>59</v>
      </c>
      <c r="C192" s="71" t="s">
        <v>607</v>
      </c>
      <c r="D192" s="280">
        <f>'Act Att-H'!D196</f>
        <v>12585516.059999999</v>
      </c>
      <c r="E192" s="107"/>
      <c r="F192" s="107"/>
      <c r="G192" s="107" t="s">
        <v>2</v>
      </c>
      <c r="H192" s="107"/>
      <c r="I192" s="107"/>
      <c r="J192" s="107"/>
      <c r="K192" s="107"/>
    </row>
    <row r="193" spans="1:11">
      <c r="A193" s="78">
        <v>20</v>
      </c>
      <c r="B193" s="181" t="s">
        <v>427</v>
      </c>
      <c r="C193" s="182" t="s">
        <v>428</v>
      </c>
      <c r="D193" s="180">
        <f>D190+D191+D192</f>
        <v>715811733.21999979</v>
      </c>
      <c r="E193" s="107"/>
      <c r="F193" s="107"/>
      <c r="G193" s="107"/>
      <c r="H193" s="107"/>
      <c r="I193" s="107"/>
      <c r="J193" s="107"/>
      <c r="K193" s="107"/>
    </row>
    <row r="194" spans="1:11" ht="9" customHeight="1">
      <c r="A194" s="78"/>
      <c r="B194" s="71"/>
      <c r="C194" s="107"/>
      <c r="E194" s="107"/>
      <c r="F194" s="107"/>
      <c r="G194" s="107"/>
      <c r="H194" s="107"/>
      <c r="I194" s="107"/>
      <c r="J194" s="107"/>
      <c r="K194" s="107"/>
    </row>
    <row r="195" spans="1:11" ht="13.5" thickBot="1">
      <c r="A195" s="78"/>
      <c r="B195" s="71" t="s">
        <v>70</v>
      </c>
      <c r="C195" s="107"/>
      <c r="D195" s="107"/>
      <c r="E195" s="107"/>
      <c r="F195" s="107"/>
      <c r="G195" s="107"/>
      <c r="H195" s="107"/>
      <c r="I195" s="158" t="s">
        <v>56</v>
      </c>
      <c r="J195" s="107"/>
      <c r="K195" s="107"/>
    </row>
    <row r="196" spans="1:11">
      <c r="A196" s="78">
        <v>21</v>
      </c>
      <c r="B196" s="107" t="s">
        <v>431</v>
      </c>
      <c r="C196" s="71" t="s">
        <v>608</v>
      </c>
      <c r="D196" s="107"/>
      <c r="E196" s="107"/>
      <c r="F196" s="107"/>
      <c r="G196" s="107"/>
      <c r="H196" s="107"/>
      <c r="I196" s="280">
        <f>'Act Att-H'!I200</f>
        <v>16097372</v>
      </c>
      <c r="J196" s="107"/>
      <c r="K196" s="107"/>
    </row>
    <row r="197" spans="1:11" ht="9" customHeight="1">
      <c r="A197" s="78"/>
      <c r="B197" s="107"/>
      <c r="C197" s="107"/>
      <c r="D197" s="107"/>
      <c r="E197" s="107"/>
      <c r="F197" s="107"/>
      <c r="G197" s="107"/>
      <c r="H197" s="107"/>
      <c r="I197" s="107"/>
      <c r="J197" s="107"/>
      <c r="K197" s="107"/>
    </row>
    <row r="198" spans="1:11">
      <c r="A198" s="78">
        <v>22</v>
      </c>
      <c r="B198" s="107" t="s">
        <v>430</v>
      </c>
      <c r="C198" s="71" t="s">
        <v>609</v>
      </c>
      <c r="D198" s="107"/>
      <c r="E198" s="107"/>
      <c r="F198" s="107"/>
      <c r="G198" s="107"/>
      <c r="H198" s="107"/>
      <c r="I198" s="280">
        <f>'Act Att-H'!I202</f>
        <v>0</v>
      </c>
      <c r="J198" s="107"/>
      <c r="K198" s="107"/>
    </row>
    <row r="199" spans="1:11" ht="9" customHeight="1">
      <c r="A199" s="78"/>
      <c r="B199" s="71"/>
      <c r="C199" s="107"/>
      <c r="D199" s="107"/>
      <c r="E199" s="107"/>
      <c r="F199" s="107"/>
      <c r="G199" s="107"/>
      <c r="H199" s="107"/>
      <c r="I199" s="107"/>
      <c r="J199" s="107"/>
      <c r="K199" s="107"/>
    </row>
    <row r="200" spans="1:11">
      <c r="A200" s="78"/>
      <c r="B200" s="165" t="s">
        <v>432</v>
      </c>
      <c r="C200" s="107"/>
      <c r="D200" s="107"/>
      <c r="E200" s="107"/>
      <c r="F200" s="107"/>
      <c r="G200" s="107"/>
      <c r="H200" s="107"/>
      <c r="I200" s="107"/>
      <c r="J200" s="107"/>
      <c r="K200" s="107"/>
    </row>
    <row r="201" spans="1:11">
      <c r="A201" s="78">
        <v>23</v>
      </c>
      <c r="B201" s="107" t="s">
        <v>435</v>
      </c>
      <c r="C201" s="71" t="s">
        <v>610</v>
      </c>
      <c r="D201" s="71"/>
      <c r="E201" s="107"/>
      <c r="F201" s="107"/>
      <c r="G201" s="107"/>
      <c r="H201" s="107"/>
      <c r="I201" s="280">
        <f>'Act Att-H'!I205</f>
        <v>247950929</v>
      </c>
      <c r="J201" s="107"/>
      <c r="K201" s="107"/>
    </row>
    <row r="202" spans="1:11">
      <c r="A202" s="78">
        <v>24</v>
      </c>
      <c r="B202" s="107" t="s">
        <v>436</v>
      </c>
      <c r="C202" s="71" t="s">
        <v>611</v>
      </c>
      <c r="D202" s="107"/>
      <c r="E202" s="107"/>
      <c r="F202" s="107"/>
      <c r="G202" s="107"/>
      <c r="H202" s="107"/>
      <c r="I202" s="280">
        <f>'Act Att-H'!I206</f>
        <v>0</v>
      </c>
      <c r="J202" s="107"/>
      <c r="K202" s="107"/>
    </row>
    <row r="203" spans="1:11">
      <c r="A203" s="78">
        <v>25</v>
      </c>
      <c r="B203" s="71" t="s">
        <v>437</v>
      </c>
      <c r="C203" s="71" t="s">
        <v>612</v>
      </c>
      <c r="D203" s="107"/>
      <c r="E203" s="107"/>
      <c r="F203" s="107"/>
      <c r="G203" s="107"/>
      <c r="H203" s="107"/>
      <c r="I203" s="280">
        <f>'Act Att-H'!I207</f>
        <v>0</v>
      </c>
      <c r="J203" s="107"/>
      <c r="K203" s="107"/>
    </row>
    <row r="204" spans="1:11">
      <c r="A204" s="78">
        <v>26</v>
      </c>
      <c r="B204" s="71" t="s">
        <v>952</v>
      </c>
      <c r="C204" s="71" t="s">
        <v>963</v>
      </c>
      <c r="D204" s="107"/>
      <c r="E204" s="107"/>
      <c r="F204" s="107"/>
      <c r="G204" s="107"/>
      <c r="H204" s="107"/>
      <c r="I204" s="280">
        <f>'Act Att-H'!I208</f>
        <v>0</v>
      </c>
      <c r="J204" s="107"/>
      <c r="K204" s="107"/>
    </row>
    <row r="205" spans="1:11">
      <c r="A205" s="78">
        <v>27</v>
      </c>
      <c r="B205" s="181" t="s">
        <v>71</v>
      </c>
      <c r="C205" s="183" t="s">
        <v>964</v>
      </c>
      <c r="D205" s="115"/>
      <c r="E205" s="71"/>
      <c r="F205" s="71"/>
      <c r="G205" s="71"/>
      <c r="H205" s="71"/>
      <c r="I205" s="180">
        <f>I201-I202-I203-I204</f>
        <v>247950929</v>
      </c>
      <c r="J205" s="107"/>
      <c r="K205" s="107"/>
    </row>
    <row r="206" spans="1:11">
      <c r="A206" s="78"/>
      <c r="B206" s="71"/>
      <c r="C206" s="107"/>
      <c r="D206" s="107"/>
      <c r="E206" s="107"/>
      <c r="F206" s="107"/>
      <c r="G206" s="108"/>
      <c r="H206" s="107"/>
      <c r="I206" s="107"/>
      <c r="J206" s="107"/>
      <c r="K206" s="107"/>
    </row>
    <row r="207" spans="1:11" ht="13.5" thickBot="1">
      <c r="A207" s="78"/>
      <c r="B207" s="71"/>
      <c r="C207" s="107"/>
      <c r="D207" s="111" t="s">
        <v>56</v>
      </c>
      <c r="E207" s="111" t="s">
        <v>73</v>
      </c>
      <c r="F207" s="107"/>
      <c r="G207" s="185" t="s">
        <v>72</v>
      </c>
      <c r="H207" s="107"/>
      <c r="I207" s="111" t="s">
        <v>74</v>
      </c>
      <c r="J207" s="107"/>
      <c r="K207" s="107"/>
    </row>
    <row r="208" spans="1:11">
      <c r="A208" s="78">
        <v>28</v>
      </c>
      <c r="B208" s="71" t="s">
        <v>440</v>
      </c>
      <c r="C208" s="71" t="s">
        <v>613</v>
      </c>
      <c r="D208" s="280">
        <f>'Act Att-H'!D212</f>
        <v>195000000</v>
      </c>
      <c r="E208" s="166">
        <f>IF($D$211&gt;0,D208/$D$211,0)</f>
        <v>0.44022935100334781</v>
      </c>
      <c r="F208" s="167"/>
      <c r="G208" s="681">
        <f>IF(D208&gt;0,I196/D208,0)</f>
        <v>8.2550625641025638E-2</v>
      </c>
      <c r="I208" s="168">
        <f>G208*E208</f>
        <v>3.6341208350869042E-2</v>
      </c>
      <c r="J208" s="169" t="s">
        <v>75</v>
      </c>
    </row>
    <row r="209" spans="1:11">
      <c r="A209" s="78">
        <v>29</v>
      </c>
      <c r="B209" s="71" t="s">
        <v>441</v>
      </c>
      <c r="C209" s="71" t="s">
        <v>614</v>
      </c>
      <c r="D209" s="280">
        <f>'Act Att-H'!D213</f>
        <v>0</v>
      </c>
      <c r="E209" s="166">
        <f>IF($D$211&gt;0,D209/$D$211,0)</f>
        <v>0</v>
      </c>
      <c r="F209" s="167"/>
      <c r="G209" s="681">
        <f>IF(D209&gt;0,I198/D209,0)</f>
        <v>0</v>
      </c>
      <c r="I209" s="168">
        <f>G209*E209</f>
        <v>0</v>
      </c>
      <c r="J209" s="107"/>
    </row>
    <row r="210" spans="1:11" ht="13.5" thickBot="1">
      <c r="A210" s="78">
        <v>30</v>
      </c>
      <c r="B210" s="71" t="s">
        <v>442</v>
      </c>
      <c r="C210" s="71" t="s">
        <v>1213</v>
      </c>
      <c r="D210" s="280">
        <f>'Act Att-H'!D214</f>
        <v>247950929</v>
      </c>
      <c r="E210" s="166">
        <f>IF($D$211&gt;0,D210/$D$211,0)</f>
        <v>0.55977064899665219</v>
      </c>
      <c r="F210" s="167"/>
      <c r="G210" s="681">
        <f>'Act Att-H'!G214</f>
        <v>9.9000000000000005E-2</v>
      </c>
      <c r="I210" s="170">
        <f>G210*E210</f>
        <v>5.5417294250668568E-2</v>
      </c>
      <c r="J210" s="107"/>
    </row>
    <row r="211" spans="1:11">
      <c r="A211" s="78">
        <v>31</v>
      </c>
      <c r="B211" s="181" t="s">
        <v>388</v>
      </c>
      <c r="C211" s="183" t="s">
        <v>910</v>
      </c>
      <c r="D211" s="180">
        <f>D210+D209+D208</f>
        <v>442950929</v>
      </c>
      <c r="E211" s="107" t="s">
        <v>2</v>
      </c>
      <c r="F211" s="107"/>
      <c r="G211" s="107"/>
      <c r="H211" s="107"/>
      <c r="I211" s="168">
        <f>SUM(I208:I210)</f>
        <v>9.1758502601537617E-2</v>
      </c>
      <c r="J211" s="169" t="s">
        <v>76</v>
      </c>
    </row>
    <row r="212" spans="1:11" ht="9" customHeight="1">
      <c r="E212" s="107"/>
      <c r="F212" s="107"/>
      <c r="G212" s="107"/>
      <c r="H212" s="107"/>
    </row>
    <row r="213" spans="1:11">
      <c r="A213" s="71"/>
      <c r="B213" s="71"/>
      <c r="C213" s="71"/>
      <c r="D213" s="107"/>
      <c r="E213" s="107"/>
      <c r="F213" s="133"/>
      <c r="G213" s="107"/>
      <c r="H213" s="107"/>
      <c r="I213" s="107"/>
      <c r="J213" s="107"/>
      <c r="K213" s="107"/>
    </row>
    <row r="214" spans="1:11">
      <c r="A214" s="78">
        <v>32</v>
      </c>
      <c r="B214" s="71" t="s">
        <v>702</v>
      </c>
      <c r="C214" s="71" t="s">
        <v>724</v>
      </c>
      <c r="D214" s="104"/>
      <c r="E214" s="71"/>
      <c r="F214" s="71"/>
      <c r="G214" s="71"/>
      <c r="H214" s="347"/>
      <c r="I214" s="280">
        <f>'P4-IncentPlant'!F47</f>
        <v>0</v>
      </c>
      <c r="J214" s="347"/>
      <c r="K214" s="347"/>
    </row>
    <row r="215" spans="1:11">
      <c r="B215" s="71"/>
      <c r="C215" s="71"/>
      <c r="D215" s="104"/>
      <c r="E215" s="71"/>
      <c r="F215" s="71"/>
      <c r="G215" s="761"/>
      <c r="H215" s="761"/>
      <c r="I215" s="761"/>
      <c r="J215" s="761"/>
      <c r="K215" s="761"/>
    </row>
    <row r="216" spans="1:11">
      <c r="B216" s="71"/>
      <c r="C216" s="71"/>
      <c r="D216" s="104"/>
      <c r="E216" s="71"/>
      <c r="F216" s="71"/>
      <c r="G216" s="71"/>
      <c r="H216" s="71"/>
      <c r="I216" s="762" t="str">
        <f>I1</f>
        <v>Projected Attachment H</v>
      </c>
      <c r="J216" s="762"/>
      <c r="K216" s="762"/>
    </row>
    <row r="217" spans="1:11">
      <c r="B217" s="71"/>
      <c r="C217" s="71"/>
      <c r="D217" s="104"/>
      <c r="E217" s="71"/>
      <c r="F217" s="71"/>
      <c r="G217" s="71"/>
      <c r="H217" s="71"/>
      <c r="I217" s="71"/>
      <c r="J217" s="761" t="s">
        <v>359</v>
      </c>
      <c r="K217" s="761"/>
    </row>
    <row r="218" spans="1:11">
      <c r="B218" s="71"/>
      <c r="C218" s="71"/>
      <c r="D218" s="104"/>
      <c r="E218" s="71"/>
      <c r="F218" s="71"/>
      <c r="G218" s="71"/>
      <c r="H218" s="71"/>
      <c r="I218" s="71"/>
      <c r="J218" s="71"/>
      <c r="K218" s="105"/>
    </row>
    <row r="219" spans="1:11">
      <c r="B219" s="104" t="s">
        <v>0</v>
      </c>
      <c r="C219" s="78" t="s">
        <v>1</v>
      </c>
      <c r="E219" s="71"/>
      <c r="F219" s="71"/>
      <c r="G219" s="71"/>
      <c r="H219" s="71"/>
      <c r="I219" s="71"/>
      <c r="J219" s="71"/>
      <c r="K219" s="121" t="str">
        <f>K4</f>
        <v>Estimated - For the 12 months ended 12/31/2024</v>
      </c>
    </row>
    <row r="220" spans="1:11">
      <c r="B220" s="71"/>
      <c r="C220" s="108" t="s">
        <v>3</v>
      </c>
      <c r="E220" s="107"/>
      <c r="F220" s="107"/>
      <c r="G220" s="107"/>
      <c r="H220" s="71"/>
      <c r="I220" s="71"/>
      <c r="J220" s="71"/>
      <c r="K220" s="71"/>
    </row>
    <row r="221" spans="1:11">
      <c r="A221" s="78"/>
      <c r="C221" s="107"/>
      <c r="E221" s="107"/>
      <c r="F221" s="107"/>
      <c r="G221" s="107"/>
      <c r="H221" s="71"/>
      <c r="I221" s="152"/>
      <c r="K221" s="107"/>
    </row>
    <row r="222" spans="1:11">
      <c r="A222" s="78"/>
      <c r="C222" s="171" t="str">
        <f>C7</f>
        <v>Cheyenne Light, Fuel &amp; Power</v>
      </c>
      <c r="E222" s="107"/>
      <c r="F222" s="107"/>
      <c r="G222" s="107"/>
      <c r="H222" s="71"/>
      <c r="I222" s="152"/>
      <c r="K222" s="107"/>
    </row>
    <row r="223" spans="1:11">
      <c r="A223" s="78"/>
      <c r="C223" s="171"/>
      <c r="E223" s="107"/>
      <c r="F223" s="107"/>
      <c r="G223" s="107"/>
      <c r="H223" s="71"/>
      <c r="I223" s="152"/>
      <c r="K223" s="107"/>
    </row>
    <row r="224" spans="1:11" ht="15.75" customHeight="1">
      <c r="A224" s="78"/>
      <c r="B224" s="78" t="s">
        <v>15</v>
      </c>
      <c r="C224" s="78" t="s">
        <v>16</v>
      </c>
      <c r="D224" s="78" t="s">
        <v>17</v>
      </c>
      <c r="E224" s="107" t="s">
        <v>2</v>
      </c>
      <c r="F224" s="107"/>
      <c r="G224" s="123" t="s">
        <v>18</v>
      </c>
      <c r="H224" s="107"/>
      <c r="I224" s="124" t="s">
        <v>19</v>
      </c>
      <c r="K224" s="107"/>
    </row>
    <row r="225" spans="1:12">
      <c r="A225" s="78" t="s">
        <v>4</v>
      </c>
      <c r="B225" s="71"/>
      <c r="C225" s="125"/>
      <c r="D225" s="107"/>
      <c r="E225" s="107"/>
      <c r="F225" s="107"/>
      <c r="G225" s="78"/>
      <c r="H225" s="107"/>
      <c r="I225" s="126" t="s">
        <v>21</v>
      </c>
      <c r="J225" s="107"/>
      <c r="K225" s="107"/>
    </row>
    <row r="226" spans="1:12" ht="13.5" thickBot="1">
      <c r="A226" s="111" t="s">
        <v>6</v>
      </c>
      <c r="B226" s="71"/>
      <c r="C226" s="127" t="s">
        <v>578</v>
      </c>
      <c r="D226" s="126" t="s">
        <v>23</v>
      </c>
      <c r="E226" s="128"/>
      <c r="F226" s="126" t="s">
        <v>24</v>
      </c>
      <c r="H226" s="128"/>
      <c r="I226" s="78" t="s">
        <v>25</v>
      </c>
      <c r="J226" s="107"/>
      <c r="K226" s="107"/>
    </row>
    <row r="227" spans="1:12">
      <c r="A227" s="78"/>
      <c r="C227" s="78"/>
      <c r="D227" s="107"/>
      <c r="E227" s="107"/>
      <c r="F227" s="107"/>
      <c r="G227" s="107"/>
      <c r="H227" s="71"/>
      <c r="I227" s="152"/>
      <c r="J227" s="107"/>
      <c r="K227" s="107"/>
    </row>
    <row r="228" spans="1:12">
      <c r="A228" s="78"/>
      <c r="B228" s="71" t="s">
        <v>750</v>
      </c>
      <c r="C228" s="107"/>
      <c r="D228" s="108" t="s">
        <v>56</v>
      </c>
      <c r="E228" s="107"/>
      <c r="F228" s="107"/>
      <c r="G228" s="108"/>
      <c r="H228" s="139" t="s">
        <v>2</v>
      </c>
      <c r="I228" s="132"/>
      <c r="J228" s="107"/>
      <c r="K228" s="107"/>
    </row>
    <row r="229" spans="1:12">
      <c r="A229" s="78">
        <v>1</v>
      </c>
      <c r="B229" s="71" t="s">
        <v>26</v>
      </c>
      <c r="C229" s="107" t="s">
        <v>752</v>
      </c>
      <c r="D229" s="280">
        <f>'Act Att-H'!D45</f>
        <v>348280393.26692301</v>
      </c>
      <c r="E229" s="107"/>
      <c r="F229" s="107" t="s">
        <v>27</v>
      </c>
      <c r="G229" s="130" t="s">
        <v>2</v>
      </c>
      <c r="H229" s="107"/>
      <c r="I229" s="107" t="s">
        <v>2</v>
      </c>
      <c r="J229" s="107"/>
      <c r="K229" s="78"/>
    </row>
    <row r="230" spans="1:12">
      <c r="A230" s="78">
        <v>2</v>
      </c>
      <c r="B230" s="71" t="s">
        <v>28</v>
      </c>
      <c r="C230" s="107" t="s">
        <v>760</v>
      </c>
      <c r="D230" s="280">
        <f>D49</f>
        <v>148950277.65985495</v>
      </c>
      <c r="E230" s="107"/>
      <c r="F230" s="107" t="s">
        <v>11</v>
      </c>
      <c r="G230" s="131">
        <f>I170</f>
        <v>0.94993800079121415</v>
      </c>
      <c r="H230" s="107"/>
      <c r="I230" s="63">
        <f>+G230*D230</f>
        <v>141493528.97749886</v>
      </c>
      <c r="J230" s="139"/>
      <c r="K230" s="162"/>
      <c r="L230" s="107"/>
    </row>
    <row r="231" spans="1:12">
      <c r="A231" s="78">
        <v>3</v>
      </c>
      <c r="B231" s="71" t="s">
        <v>29</v>
      </c>
      <c r="C231" s="107" t="s">
        <v>757</v>
      </c>
      <c r="D231" s="280">
        <f>'Act Att-H'!D47</f>
        <v>252209333.70000008</v>
      </c>
      <c r="E231" s="107"/>
      <c r="F231" s="107" t="s">
        <v>27</v>
      </c>
      <c r="G231" s="130" t="s">
        <v>2</v>
      </c>
      <c r="H231" s="107"/>
      <c r="I231" s="63" t="s">
        <v>2</v>
      </c>
      <c r="J231" s="107"/>
      <c r="K231" s="107"/>
    </row>
    <row r="232" spans="1:12">
      <c r="A232" s="78">
        <v>4</v>
      </c>
      <c r="B232" s="71" t="s">
        <v>30</v>
      </c>
      <c r="C232" s="107" t="s">
        <v>758</v>
      </c>
      <c r="D232" s="280">
        <f>'Act Att-H'!D48</f>
        <v>21130047.153076924</v>
      </c>
      <c r="E232" s="107"/>
      <c r="F232" s="107" t="s">
        <v>31</v>
      </c>
      <c r="G232" s="131">
        <f>I187</f>
        <v>7.0964263854582682E-2</v>
      </c>
      <c r="H232" s="107"/>
      <c r="I232" s="63">
        <f>+G232*D232</f>
        <v>1499478.2414307245</v>
      </c>
      <c r="J232" s="107"/>
      <c r="K232" s="107"/>
    </row>
    <row r="233" spans="1:12">
      <c r="A233" s="78">
        <v>5</v>
      </c>
      <c r="B233" s="71" t="s">
        <v>32</v>
      </c>
      <c r="C233" s="107" t="s">
        <v>759</v>
      </c>
      <c r="D233" s="280">
        <f>'Act Att-H'!D49</f>
        <v>12519082</v>
      </c>
      <c r="E233" s="107"/>
      <c r="F233" s="107" t="s">
        <v>67</v>
      </c>
      <c r="G233" s="131">
        <f>K191</f>
        <v>6.9716558849231183E-2</v>
      </c>
      <c r="H233" s="107"/>
      <c r="I233" s="63">
        <f>+G233*D233</f>
        <v>872787.31699135085</v>
      </c>
      <c r="J233" s="107"/>
      <c r="K233" s="107"/>
    </row>
    <row r="234" spans="1:12">
      <c r="A234" s="78">
        <v>6</v>
      </c>
      <c r="B234" s="181" t="s">
        <v>427</v>
      </c>
      <c r="C234" s="182" t="s">
        <v>428</v>
      </c>
      <c r="D234" s="180">
        <f>SUM(D229:D233)</f>
        <v>783089133.77985489</v>
      </c>
      <c r="E234" s="107"/>
      <c r="F234" s="182" t="s">
        <v>33</v>
      </c>
      <c r="G234" s="547">
        <f>IF(I234&gt;0,I234/D234,0)</f>
        <v>0.18371573340764177</v>
      </c>
      <c r="H234" s="107"/>
      <c r="I234" s="184">
        <f>SUM(I229:I233)</f>
        <v>143865794.53592095</v>
      </c>
      <c r="J234" s="107"/>
      <c r="K234" s="107"/>
      <c r="L234" s="107"/>
    </row>
    <row r="235" spans="1:12">
      <c r="A235" s="78"/>
      <c r="B235" s="71"/>
      <c r="C235" s="107"/>
      <c r="D235" s="115"/>
      <c r="E235" s="107"/>
      <c r="F235" s="107"/>
      <c r="G235" s="107"/>
      <c r="H235" s="107"/>
      <c r="I235" s="107"/>
      <c r="J235" s="107"/>
      <c r="K235" s="107"/>
    </row>
    <row r="236" spans="1:12">
      <c r="A236" s="78"/>
      <c r="B236" s="71" t="s">
        <v>751</v>
      </c>
      <c r="C236" s="107"/>
      <c r="D236" s="108" t="s">
        <v>56</v>
      </c>
      <c r="E236" s="107"/>
      <c r="F236" s="107"/>
      <c r="G236" s="108"/>
      <c r="H236" s="139" t="s">
        <v>2</v>
      </c>
      <c r="I236" s="132"/>
      <c r="J236" s="107"/>
      <c r="K236" s="107"/>
    </row>
    <row r="237" spans="1:12">
      <c r="A237" s="78">
        <v>7</v>
      </c>
      <c r="B237" s="71" t="s">
        <v>26</v>
      </c>
      <c r="C237" s="107" t="s">
        <v>753</v>
      </c>
      <c r="D237" s="280">
        <f>'Act Att-H'!D61</f>
        <v>277289407.60691214</v>
      </c>
      <c r="E237" s="107"/>
      <c r="F237" s="107" t="s">
        <v>27</v>
      </c>
      <c r="G237" s="130" t="s">
        <v>2</v>
      </c>
      <c r="H237" s="107"/>
      <c r="I237" s="107" t="s">
        <v>2</v>
      </c>
      <c r="J237" s="107"/>
      <c r="K237" s="78"/>
    </row>
    <row r="238" spans="1:12">
      <c r="A238" s="78">
        <v>8</v>
      </c>
      <c r="B238" s="71" t="s">
        <v>28</v>
      </c>
      <c r="C238" s="107" t="s">
        <v>761</v>
      </c>
      <c r="D238" s="280">
        <f>D59</f>
        <v>136387189.55743721</v>
      </c>
      <c r="E238" s="107"/>
      <c r="F238" s="107" t="s">
        <v>11</v>
      </c>
      <c r="G238" s="131">
        <f>G230</f>
        <v>0.94993800079121415</v>
      </c>
      <c r="H238" s="107"/>
      <c r="I238" s="63">
        <f>+G238*D238</f>
        <v>129559374.18172427</v>
      </c>
      <c r="J238" s="139"/>
      <c r="K238" s="162"/>
    </row>
    <row r="239" spans="1:12">
      <c r="A239" s="78">
        <v>9</v>
      </c>
      <c r="B239" s="71" t="s">
        <v>29</v>
      </c>
      <c r="C239" s="107" t="s">
        <v>754</v>
      </c>
      <c r="D239" s="280">
        <f>'Act Att-H'!D63</f>
        <v>183270888.45110238</v>
      </c>
      <c r="E239" s="107"/>
      <c r="F239" s="107" t="s">
        <v>27</v>
      </c>
      <c r="G239" s="130" t="s">
        <v>2</v>
      </c>
      <c r="H239" s="107"/>
      <c r="I239" s="63" t="s">
        <v>2</v>
      </c>
      <c r="J239" s="107"/>
      <c r="K239" s="107"/>
    </row>
    <row r="240" spans="1:12">
      <c r="A240" s="78">
        <v>10</v>
      </c>
      <c r="B240" s="71" t="s">
        <v>30</v>
      </c>
      <c r="C240" s="107" t="s">
        <v>755</v>
      </c>
      <c r="D240" s="280">
        <f>'Act Att-H'!D64</f>
        <v>15497348.136830579</v>
      </c>
      <c r="E240" s="107"/>
      <c r="F240" s="107" t="s">
        <v>31</v>
      </c>
      <c r="G240" s="131">
        <f>G232</f>
        <v>7.0964263854582682E-2</v>
      </c>
      <c r="H240" s="107"/>
      <c r="I240" s="63">
        <f>+G240*D240</f>
        <v>1099757.9022283705</v>
      </c>
      <c r="J240" s="107"/>
      <c r="K240" s="107"/>
    </row>
    <row r="241" spans="1:12">
      <c r="A241" s="78">
        <v>11</v>
      </c>
      <c r="B241" s="71" t="s">
        <v>32</v>
      </c>
      <c r="C241" s="107" t="s">
        <v>756</v>
      </c>
      <c r="D241" s="280">
        <f>'Act Att-H'!D65</f>
        <v>10033300.615384616</v>
      </c>
      <c r="E241" s="107"/>
      <c r="F241" s="107" t="s">
        <v>67</v>
      </c>
      <c r="G241" s="131">
        <f>G233</f>
        <v>6.9716558849231183E-2</v>
      </c>
      <c r="H241" s="107"/>
      <c r="I241" s="63">
        <f>+G241*D241</f>
        <v>699487.19280448905</v>
      </c>
      <c r="J241" s="107"/>
      <c r="K241" s="107"/>
    </row>
    <row r="242" spans="1:12">
      <c r="A242" s="78">
        <v>12</v>
      </c>
      <c r="B242" s="181" t="s">
        <v>427</v>
      </c>
      <c r="C242" s="182" t="s">
        <v>428</v>
      </c>
      <c r="D242" s="180">
        <f>SUM(D237:D241)</f>
        <v>622478134.36766684</v>
      </c>
      <c r="E242" s="107"/>
      <c r="F242" s="182" t="s">
        <v>34</v>
      </c>
      <c r="G242" s="547">
        <f>IF(I242&gt;0,I242/D242,0)</f>
        <v>0.21102527466317414</v>
      </c>
      <c r="H242" s="107"/>
      <c r="I242" s="184">
        <f>SUM(I237:I241)</f>
        <v>131358619.27675712</v>
      </c>
      <c r="J242" s="107"/>
      <c r="K242" s="107"/>
      <c r="L242" s="107"/>
    </row>
    <row r="243" spans="1:12">
      <c r="A243" s="78"/>
      <c r="B243" s="71"/>
      <c r="C243" s="107"/>
      <c r="D243" s="115"/>
      <c r="E243" s="107"/>
      <c r="F243" s="107"/>
      <c r="G243" s="107"/>
      <c r="H243" s="107"/>
      <c r="I243" s="107"/>
      <c r="J243" s="71"/>
      <c r="K243" s="107"/>
    </row>
    <row r="244" spans="1:12">
      <c r="A244" s="78"/>
      <c r="B244" s="71"/>
      <c r="C244" s="107"/>
      <c r="D244" s="115"/>
      <c r="E244" s="107"/>
      <c r="F244" s="107"/>
      <c r="G244" s="107"/>
      <c r="H244" s="107"/>
      <c r="I244" s="107"/>
      <c r="J244" s="71"/>
      <c r="K244" s="107"/>
    </row>
    <row r="245" spans="1:12">
      <c r="A245" s="78"/>
      <c r="B245" s="71"/>
      <c r="C245" s="107"/>
      <c r="D245" s="115"/>
      <c r="E245" s="107"/>
      <c r="F245" s="107"/>
      <c r="G245" s="107"/>
      <c r="H245" s="107"/>
      <c r="I245" s="107"/>
      <c r="J245" s="71"/>
      <c r="K245" s="107"/>
    </row>
    <row r="246" spans="1:12">
      <c r="A246" s="78"/>
      <c r="B246" s="71" t="s">
        <v>120</v>
      </c>
      <c r="C246" s="78"/>
      <c r="D246" s="107"/>
      <c r="E246" s="107"/>
      <c r="F246" s="107"/>
      <c r="G246" s="107"/>
      <c r="H246" s="71"/>
      <c r="I246" s="107"/>
      <c r="J246" s="71"/>
      <c r="K246" s="107"/>
    </row>
    <row r="247" spans="1:12" ht="41.25" customHeight="1">
      <c r="A247" s="78"/>
      <c r="B247" s="172" t="s">
        <v>119</v>
      </c>
      <c r="C247" s="78"/>
      <c r="D247" s="107"/>
      <c r="E247" s="107"/>
      <c r="F247" s="107"/>
      <c r="G247" s="107"/>
      <c r="H247" s="71"/>
      <c r="I247" s="107"/>
      <c r="J247" s="444"/>
      <c r="K247" s="444"/>
    </row>
    <row r="248" spans="1:12">
      <c r="A248" s="78" t="s">
        <v>77</v>
      </c>
      <c r="B248" s="71"/>
      <c r="C248" s="71"/>
      <c r="D248" s="107"/>
      <c r="E248" s="107"/>
      <c r="F248" s="107"/>
      <c r="G248" s="107"/>
      <c r="H248" s="71"/>
      <c r="I248" s="107"/>
      <c r="J248" s="71"/>
      <c r="K248" s="71"/>
    </row>
    <row r="249" spans="1:12" ht="13.5" thickBot="1">
      <c r="A249" s="111" t="s">
        <v>78</v>
      </c>
      <c r="B249" s="71"/>
      <c r="C249" s="71"/>
      <c r="D249" s="107"/>
      <c r="E249" s="107"/>
      <c r="F249" s="107"/>
      <c r="G249" s="107"/>
      <c r="H249" s="71"/>
      <c r="I249" s="107"/>
      <c r="J249" s="71"/>
      <c r="K249" s="71"/>
    </row>
    <row r="250" spans="1:12" ht="55.5" customHeight="1">
      <c r="A250" s="79" t="s">
        <v>79</v>
      </c>
      <c r="B250" s="765" t="s">
        <v>147</v>
      </c>
      <c r="C250" s="765"/>
      <c r="D250" s="765"/>
      <c r="E250" s="765"/>
      <c r="F250" s="765"/>
      <c r="G250" s="765"/>
      <c r="H250" s="765"/>
      <c r="I250" s="765"/>
      <c r="J250" s="71"/>
      <c r="K250" s="71"/>
    </row>
    <row r="251" spans="1:12">
      <c r="A251" s="85" t="s">
        <v>2</v>
      </c>
      <c r="B251" s="71" t="s">
        <v>450</v>
      </c>
      <c r="C251" s="71" t="s">
        <v>93</v>
      </c>
      <c r="D251" s="173">
        <v>0.21</v>
      </c>
      <c r="E251" s="71" t="s">
        <v>451</v>
      </c>
      <c r="F251" s="71"/>
      <c r="G251" s="71"/>
      <c r="H251" s="71"/>
      <c r="I251" s="71"/>
      <c r="J251" s="92"/>
      <c r="K251" s="92"/>
    </row>
    <row r="252" spans="1:12">
      <c r="A252" s="85"/>
      <c r="B252" s="71"/>
      <c r="C252" s="71" t="s">
        <v>94</v>
      </c>
      <c r="D252" s="173">
        <v>0</v>
      </c>
      <c r="E252" s="71" t="s">
        <v>95</v>
      </c>
      <c r="F252" s="71"/>
      <c r="G252" s="71"/>
      <c r="H252" s="71"/>
      <c r="I252" s="71"/>
      <c r="J252" s="92"/>
      <c r="K252" s="92"/>
    </row>
    <row r="253" spans="1:12">
      <c r="A253" s="85"/>
      <c r="B253" s="71"/>
      <c r="C253" s="71" t="s">
        <v>96</v>
      </c>
      <c r="D253" s="173">
        <v>0</v>
      </c>
      <c r="E253" s="71" t="s">
        <v>97</v>
      </c>
      <c r="F253" s="71"/>
      <c r="G253" s="71"/>
      <c r="H253" s="71"/>
      <c r="I253" s="71"/>
      <c r="J253" s="92"/>
      <c r="K253" s="92"/>
    </row>
    <row r="254" spans="1:12">
      <c r="A254" s="93"/>
      <c r="B254" s="804"/>
      <c r="C254" s="804"/>
      <c r="D254" s="804"/>
      <c r="E254" s="804"/>
      <c r="F254" s="804"/>
      <c r="G254" s="804"/>
      <c r="H254" s="804"/>
      <c r="I254" s="804"/>
      <c r="J254" s="92"/>
      <c r="K254" s="92"/>
    </row>
    <row r="255" spans="1:12">
      <c r="A255" s="81" t="s">
        <v>80</v>
      </c>
      <c r="B255" s="103" t="s">
        <v>1029</v>
      </c>
      <c r="J255" s="92"/>
      <c r="K255" s="92"/>
    </row>
    <row r="256" spans="1:12">
      <c r="A256" s="27" t="s">
        <v>81</v>
      </c>
      <c r="B256" s="806" t="s">
        <v>1135</v>
      </c>
      <c r="C256" s="806"/>
      <c r="D256" s="806"/>
      <c r="E256" s="806"/>
      <c r="F256" s="806"/>
      <c r="G256" s="806"/>
      <c r="H256" s="806"/>
      <c r="I256" s="806"/>
      <c r="J256" s="92"/>
      <c r="K256" s="92"/>
    </row>
    <row r="257" spans="1:11">
      <c r="A257" s="90"/>
      <c r="B257" s="805"/>
      <c r="C257" s="805"/>
      <c r="D257" s="805"/>
      <c r="E257" s="805"/>
      <c r="F257" s="805"/>
      <c r="G257" s="805"/>
      <c r="H257" s="805"/>
      <c r="I257" s="805"/>
      <c r="J257" s="89"/>
      <c r="K257" s="89"/>
    </row>
    <row r="258" spans="1:11">
      <c r="A258" s="93"/>
      <c r="B258" s="804"/>
      <c r="C258" s="804"/>
      <c r="D258" s="804"/>
      <c r="E258" s="804"/>
      <c r="F258" s="804"/>
      <c r="G258" s="804"/>
      <c r="H258" s="804"/>
      <c r="I258" s="804"/>
      <c r="J258" s="89"/>
      <c r="K258" s="89"/>
    </row>
    <row r="259" spans="1:11">
      <c r="A259" s="90"/>
      <c r="C259" s="92"/>
      <c r="D259" s="92"/>
      <c r="E259" s="92"/>
      <c r="F259" s="92"/>
      <c r="G259" s="92"/>
      <c r="H259" s="92"/>
      <c r="I259" s="92"/>
      <c r="J259" s="96"/>
      <c r="K259" s="96"/>
    </row>
    <row r="260" spans="1:11">
      <c r="A260" s="95"/>
      <c r="B260" s="94"/>
      <c r="C260" s="89"/>
      <c r="D260" s="89"/>
      <c r="E260" s="89"/>
      <c r="F260" s="89"/>
      <c r="G260" s="89"/>
      <c r="H260" s="89"/>
      <c r="I260" s="89"/>
    </row>
    <row r="261" spans="1:11">
      <c r="A261" s="95"/>
      <c r="B261" s="89"/>
      <c r="C261" s="89"/>
      <c r="D261" s="89"/>
      <c r="E261" s="89"/>
      <c r="F261" s="89"/>
      <c r="G261" s="89"/>
      <c r="H261" s="89"/>
      <c r="I261" s="89"/>
    </row>
    <row r="262" spans="1:11">
      <c r="A262" s="93"/>
      <c r="B262" s="774"/>
      <c r="C262" s="774"/>
      <c r="D262" s="774"/>
      <c r="E262" s="774"/>
      <c r="F262" s="774"/>
      <c r="G262" s="774"/>
      <c r="H262" s="774"/>
      <c r="I262" s="774"/>
      <c r="J262" s="100"/>
      <c r="K262" s="100"/>
    </row>
    <row r="263" spans="1:11" ht="25.5" customHeight="1">
      <c r="A263" s="93"/>
      <c r="J263" s="101"/>
      <c r="K263" s="101"/>
    </row>
    <row r="264" spans="1:11">
      <c r="A264" s="93"/>
      <c r="J264" s="89"/>
      <c r="K264" s="89"/>
    </row>
    <row r="265" spans="1:11">
      <c r="A265" s="90"/>
      <c r="B265" s="97"/>
      <c r="C265" s="97"/>
      <c r="D265" s="97"/>
      <c r="E265" s="97"/>
      <c r="F265" s="97"/>
      <c r="G265" s="97"/>
      <c r="H265" s="98"/>
      <c r="I265" s="99"/>
      <c r="J265" s="89"/>
      <c r="K265" s="89"/>
    </row>
    <row r="266" spans="1:11">
      <c r="A266" s="90"/>
      <c r="J266" s="89"/>
      <c r="K266" s="89"/>
    </row>
    <row r="267" spans="1:11">
      <c r="A267" s="90"/>
      <c r="B267" s="89"/>
      <c r="C267" s="89"/>
      <c r="D267" s="89"/>
      <c r="E267" s="89"/>
      <c r="F267" s="89"/>
      <c r="G267" s="89"/>
      <c r="H267" s="89"/>
      <c r="I267" s="89"/>
      <c r="J267" s="89"/>
      <c r="K267" s="89"/>
    </row>
    <row r="268" spans="1:11">
      <c r="A268" s="90"/>
      <c r="B268" s="89"/>
      <c r="C268" s="89"/>
      <c r="D268" s="89"/>
      <c r="E268" s="89"/>
      <c r="F268" s="89"/>
      <c r="G268" s="89"/>
      <c r="H268" s="89"/>
      <c r="I268" s="89"/>
      <c r="J268" s="89"/>
      <c r="K268" s="89"/>
    </row>
    <row r="269" spans="1:11">
      <c r="A269" s="90"/>
      <c r="C269" s="89"/>
      <c r="D269" s="89"/>
      <c r="E269" s="89"/>
      <c r="F269" s="89"/>
      <c r="G269" s="89"/>
      <c r="H269" s="89"/>
      <c r="I269" s="89"/>
      <c r="J269" s="89"/>
      <c r="K269" s="89"/>
    </row>
    <row r="270" spans="1:11">
      <c r="A270" s="93"/>
      <c r="B270" s="772"/>
      <c r="C270" s="772"/>
      <c r="D270" s="772"/>
      <c r="E270" s="772"/>
      <c r="F270" s="772"/>
      <c r="G270" s="772"/>
      <c r="H270" s="772"/>
      <c r="I270" s="772"/>
    </row>
    <row r="271" spans="1:11">
      <c r="A271" s="90"/>
      <c r="B271" s="102"/>
      <c r="C271" s="89"/>
      <c r="D271" s="89"/>
      <c r="E271" s="89"/>
      <c r="F271" s="89"/>
      <c r="G271" s="89"/>
      <c r="H271" s="89"/>
      <c r="I271" s="89"/>
    </row>
    <row r="272" spans="1:11">
      <c r="A272" s="89"/>
      <c r="B272" s="102"/>
      <c r="C272" s="89"/>
      <c r="D272" s="89"/>
      <c r="E272" s="89"/>
      <c r="F272" s="89"/>
      <c r="G272" s="89"/>
      <c r="H272" s="89"/>
      <c r="I272" s="89"/>
    </row>
  </sheetData>
  <sheetProtection formatCells="0" formatColumns="0"/>
  <mergeCells count="21">
    <mergeCell ref="B262:I262"/>
    <mergeCell ref="B270:I270"/>
    <mergeCell ref="B254:I254"/>
    <mergeCell ref="B257:I257"/>
    <mergeCell ref="G215:K215"/>
    <mergeCell ref="I216:K216"/>
    <mergeCell ref="J217:K217"/>
    <mergeCell ref="B258:I258"/>
    <mergeCell ref="B250:I250"/>
    <mergeCell ref="B256:I256"/>
    <mergeCell ref="N172:S172"/>
    <mergeCell ref="I1:K1"/>
    <mergeCell ref="J2:K2"/>
    <mergeCell ref="I36:K36"/>
    <mergeCell ref="J37:K37"/>
    <mergeCell ref="I89:K89"/>
    <mergeCell ref="J90:K90"/>
    <mergeCell ref="F153:K153"/>
    <mergeCell ref="I154:K154"/>
    <mergeCell ref="J155:K155"/>
    <mergeCell ref="G157:K157"/>
  </mergeCells>
  <pageMargins left="0.5" right="0.25" top="1" bottom="1" header="0.5" footer="0.5"/>
  <pageSetup scale="58" fitToHeight="5" orientation="portrait" r:id="rId1"/>
  <headerFooter alignWithMargins="0"/>
  <rowBreaks count="4" manualBreakCount="4">
    <brk id="35" max="10" man="1"/>
    <brk id="88" max="10" man="1"/>
    <brk id="153" max="10" man="1"/>
    <brk id="215" max="10" man="1"/>
  </rowBreaks>
  <ignoredErrors>
    <ignoredError sqref="D101:D104 D115:D119 D123:D128 D63 D56 D59:D61 I165:I167 I173:I174 D183:D186 I203:I204 D208:D210 I214 D229:D233 D237:D241 G210 D79 D82 D137:D138 D29:D35 I89 I154 I216 I196:I202 D85 D190:D192 D72:D75 D66:D71 D76:D77 D83:D84 I23 I36:K44 D54 D51 D49:D50 D52:D53 D55 D140:D145 D139 D146 G208:G209 D130 D106:D112" unlockedFormula="1"/>
    <ignoredError sqref="I70:I75 G107" formula="1"/>
    <ignoredError sqref="A44:G44 B97:I97 B224:I224"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pageSetUpPr autoPageBreaks="0"/>
  </sheetPr>
  <dimension ref="A1:AL50"/>
  <sheetViews>
    <sheetView workbookViewId="0">
      <selection activeCell="A45" sqref="A45"/>
    </sheetView>
  </sheetViews>
  <sheetFormatPr defaultColWidth="8.77734375" defaultRowHeight="12.75"/>
  <cols>
    <col min="1" max="1" width="3.109375" style="569" customWidth="1"/>
    <col min="2" max="2" width="6.5546875" style="272" customWidth="1"/>
    <col min="3" max="3" width="4.77734375" style="272" hidden="1" customWidth="1"/>
    <col min="4" max="4" width="12.21875" style="272" customWidth="1"/>
    <col min="5" max="5" width="11.21875" style="272" bestFit="1" customWidth="1"/>
    <col min="6" max="6" width="11.109375" style="272" bestFit="1" customWidth="1"/>
    <col min="7" max="7" width="16.109375" style="272" customWidth="1"/>
    <col min="8" max="8" width="12.6640625" style="272" bestFit="1" customWidth="1"/>
    <col min="9" max="9" width="13.109375" style="272" bestFit="1" customWidth="1"/>
    <col min="10" max="10" width="10.21875" style="272" bestFit="1" customWidth="1"/>
    <col min="11" max="12" width="10.21875" style="272" customWidth="1"/>
    <col min="13" max="14" width="10.77734375" style="272" customWidth="1"/>
    <col min="15" max="15" width="9.5546875" style="272" bestFit="1" customWidth="1"/>
    <col min="16" max="16" width="11.109375" style="272" customWidth="1"/>
    <col min="17" max="17" width="12.21875" style="272" customWidth="1"/>
    <col min="18" max="18" width="11.109375" style="272" customWidth="1"/>
    <col min="19" max="20" width="9.5546875" style="272" customWidth="1"/>
    <col min="21" max="21" width="11.109375" style="272" customWidth="1"/>
    <col min="22" max="22" width="11.77734375" style="272" customWidth="1"/>
    <col min="23" max="27" width="11.109375" style="272" customWidth="1"/>
    <col min="28" max="28" width="11.21875" style="272" customWidth="1"/>
    <col min="29" max="29" width="10.21875" style="272" customWidth="1"/>
    <col min="30" max="30" width="8.77734375" style="272"/>
    <col min="31" max="31" width="12.77734375" style="272" customWidth="1"/>
    <col min="32" max="32" width="13" style="272" customWidth="1"/>
    <col min="33" max="33" width="13.44140625" style="272" customWidth="1"/>
    <col min="34" max="34" width="10.5546875" style="272" customWidth="1"/>
    <col min="35" max="35" width="8.77734375" style="272"/>
    <col min="36" max="36" width="9.5546875" style="272" customWidth="1"/>
    <col min="37" max="37" width="13.44140625" style="272" customWidth="1"/>
    <col min="38" max="38" width="10.77734375" style="272" customWidth="1"/>
    <col min="39" max="39" width="10.21875" style="272" customWidth="1"/>
    <col min="40" max="40" width="11.109375" style="272" customWidth="1"/>
    <col min="41" max="16384" width="8.77734375" style="272"/>
  </cols>
  <sheetData>
    <row r="1" spans="1:38" ht="13.35" customHeight="1">
      <c r="A1" s="567"/>
      <c r="B1" s="537" t="s">
        <v>537</v>
      </c>
      <c r="C1" s="537"/>
      <c r="D1" s="537"/>
      <c r="E1" s="537"/>
      <c r="F1" s="537"/>
      <c r="G1" s="537"/>
      <c r="H1" s="537"/>
      <c r="I1" s="537"/>
      <c r="J1" s="537"/>
      <c r="K1" s="366"/>
      <c r="L1" s="366"/>
      <c r="M1" s="480"/>
      <c r="N1" s="480"/>
      <c r="Q1" s="480"/>
      <c r="AA1" s="813"/>
      <c r="AB1" s="813"/>
      <c r="AK1" s="813" t="s">
        <v>482</v>
      </c>
      <c r="AL1" s="813"/>
    </row>
    <row r="2" spans="1:38" ht="13.35" customHeight="1">
      <c r="A2" s="567"/>
      <c r="B2" s="537" t="s">
        <v>558</v>
      </c>
      <c r="C2" s="537"/>
      <c r="D2" s="537"/>
      <c r="E2" s="537"/>
      <c r="F2" s="537"/>
      <c r="G2" s="537"/>
      <c r="H2" s="537"/>
      <c r="I2" s="537"/>
      <c r="J2" s="537"/>
      <c r="K2" s="366"/>
      <c r="L2" s="366"/>
      <c r="M2" s="481"/>
      <c r="N2" s="481"/>
      <c r="Q2" s="481"/>
      <c r="AB2" s="481"/>
      <c r="AL2" s="481"/>
    </row>
    <row r="3" spans="1:38" ht="13.35" customHeight="1">
      <c r="A3" s="568"/>
      <c r="B3" s="537" t="str">
        <f>'Act Att-H'!C7</f>
        <v>Cheyenne Light, Fuel &amp; Power</v>
      </c>
      <c r="C3" s="537"/>
      <c r="D3" s="537"/>
      <c r="E3" s="537"/>
      <c r="F3" s="537"/>
      <c r="G3" s="537"/>
      <c r="H3" s="537"/>
      <c r="I3" s="537"/>
      <c r="J3" s="537"/>
      <c r="K3" s="366"/>
      <c r="L3" s="366"/>
    </row>
    <row r="4" spans="1:38" ht="13.35" customHeight="1">
      <c r="I4" s="273"/>
      <c r="J4" s="273" t="s">
        <v>862</v>
      </c>
      <c r="K4" s="273"/>
      <c r="L4" s="273"/>
      <c r="P4" s="273"/>
      <c r="Q4" s="273" t="s">
        <v>483</v>
      </c>
      <c r="V4" s="273" t="s">
        <v>484</v>
      </c>
      <c r="AA4" s="273" t="s">
        <v>863</v>
      </c>
      <c r="AL4" s="272" t="s">
        <v>484</v>
      </c>
    </row>
    <row r="5" spans="1:38">
      <c r="G5" s="55"/>
      <c r="H5" s="55"/>
      <c r="I5" s="55"/>
      <c r="J5" s="55"/>
      <c r="K5" s="55"/>
      <c r="L5" s="55"/>
      <c r="AA5" s="273"/>
    </row>
    <row r="6" spans="1:38">
      <c r="B6" s="807"/>
      <c r="C6" s="807"/>
      <c r="D6" s="807"/>
      <c r="E6" s="807"/>
      <c r="F6" s="808"/>
      <c r="G6" s="482"/>
      <c r="H6" s="483"/>
      <c r="I6" s="483"/>
      <c r="J6" s="484"/>
      <c r="K6" s="276"/>
      <c r="L6" s="276"/>
      <c r="M6" s="276"/>
      <c r="N6" s="276"/>
      <c r="Q6" s="276"/>
      <c r="X6" s="277"/>
    </row>
    <row r="7" spans="1:38">
      <c r="B7" s="809" t="s">
        <v>729</v>
      </c>
      <c r="C7" s="809"/>
      <c r="D7" s="809"/>
      <c r="E7" s="809"/>
      <c r="F7" s="809"/>
      <c r="G7" s="810" t="s">
        <v>490</v>
      </c>
      <c r="H7" s="811"/>
      <c r="I7" s="811"/>
      <c r="J7" s="812"/>
      <c r="K7" s="559"/>
      <c r="L7" s="559"/>
      <c r="M7" s="348"/>
      <c r="N7" s="348"/>
      <c r="Q7" s="348"/>
    </row>
    <row r="8" spans="1:38">
      <c r="G8" s="485"/>
      <c r="H8" s="412"/>
      <c r="I8" s="412"/>
      <c r="J8" s="574"/>
      <c r="K8" s="580"/>
      <c r="L8" s="581"/>
      <c r="M8" s="483"/>
      <c r="N8" s="483"/>
      <c r="O8" s="483"/>
      <c r="P8" s="400"/>
      <c r="Q8" s="590"/>
      <c r="R8" s="482"/>
      <c r="S8" s="818" t="s">
        <v>912</v>
      </c>
      <c r="T8" s="818"/>
      <c r="U8" s="818"/>
      <c r="V8" s="819"/>
      <c r="W8" s="817" t="s">
        <v>913</v>
      </c>
      <c r="X8" s="818"/>
      <c r="Y8" s="818"/>
      <c r="Z8" s="818"/>
      <c r="AA8" s="819"/>
    </row>
    <row r="9" spans="1:38">
      <c r="G9" s="349"/>
      <c r="H9" s="412"/>
      <c r="I9" s="412" t="s">
        <v>491</v>
      </c>
      <c r="J9" s="486" t="s">
        <v>491</v>
      </c>
      <c r="K9" s="487"/>
      <c r="L9" s="814" t="s">
        <v>869</v>
      </c>
      <c r="M9" s="814"/>
      <c r="N9" s="298"/>
      <c r="O9" s="298"/>
      <c r="P9" s="815" t="s">
        <v>897</v>
      </c>
      <c r="Q9" s="816"/>
      <c r="R9" s="351"/>
      <c r="S9" s="275"/>
      <c r="T9" s="275"/>
      <c r="U9" s="275"/>
      <c r="V9" s="283"/>
      <c r="W9" s="351"/>
      <c r="X9" s="275"/>
      <c r="Y9" s="275"/>
      <c r="Z9" s="275"/>
      <c r="AA9" s="283"/>
    </row>
    <row r="10" spans="1:38">
      <c r="B10" s="390" t="s">
        <v>268</v>
      </c>
      <c r="G10" s="487" t="s">
        <v>492</v>
      </c>
      <c r="H10" s="298"/>
      <c r="I10" s="298" t="s">
        <v>486</v>
      </c>
      <c r="J10" s="488" t="s">
        <v>493</v>
      </c>
      <c r="K10" s="487" t="s">
        <v>876</v>
      </c>
      <c r="L10" s="814" t="s">
        <v>868</v>
      </c>
      <c r="M10" s="814"/>
      <c r="N10" s="814" t="s">
        <v>896</v>
      </c>
      <c r="O10" s="814"/>
      <c r="P10" s="815" t="s">
        <v>914</v>
      </c>
      <c r="Q10" s="816"/>
      <c r="R10" s="487" t="s">
        <v>877</v>
      </c>
      <c r="S10" s="298" t="s">
        <v>871</v>
      </c>
      <c r="T10" s="298" t="s">
        <v>872</v>
      </c>
      <c r="U10" s="298"/>
      <c r="V10" s="488"/>
      <c r="W10" s="487" t="s">
        <v>877</v>
      </c>
      <c r="X10" s="298" t="s">
        <v>871</v>
      </c>
      <c r="Y10" s="298" t="s">
        <v>872</v>
      </c>
      <c r="Z10" s="298"/>
      <c r="AA10" s="488"/>
    </row>
    <row r="11" spans="1:38" ht="16.5" customHeight="1" thickBot="1">
      <c r="A11" s="571" t="s">
        <v>878</v>
      </c>
      <c r="B11" s="489" t="s">
        <v>657</v>
      </c>
      <c r="C11" s="489"/>
      <c r="D11" s="489" t="s">
        <v>485</v>
      </c>
      <c r="E11" s="489" t="s">
        <v>486</v>
      </c>
      <c r="F11" s="489" t="s">
        <v>487</v>
      </c>
      <c r="G11" s="490" t="s">
        <v>645</v>
      </c>
      <c r="H11" s="491" t="s">
        <v>494</v>
      </c>
      <c r="I11" s="491" t="s">
        <v>646</v>
      </c>
      <c r="J11" s="492" t="s">
        <v>486</v>
      </c>
      <c r="K11" s="561" t="s">
        <v>875</v>
      </c>
      <c r="L11" s="562" t="s">
        <v>912</v>
      </c>
      <c r="M11" s="562" t="s">
        <v>913</v>
      </c>
      <c r="N11" s="562" t="s">
        <v>912</v>
      </c>
      <c r="O11" s="562" t="s">
        <v>913</v>
      </c>
      <c r="P11" s="562" t="s">
        <v>912</v>
      </c>
      <c r="Q11" s="693" t="s">
        <v>913</v>
      </c>
      <c r="R11" s="565" t="s">
        <v>563</v>
      </c>
      <c r="S11" s="563" t="s">
        <v>486</v>
      </c>
      <c r="T11" s="563" t="s">
        <v>865</v>
      </c>
      <c r="U11" s="563" t="s">
        <v>866</v>
      </c>
      <c r="V11" s="566" t="s">
        <v>867</v>
      </c>
      <c r="W11" s="565" t="s">
        <v>563</v>
      </c>
      <c r="X11" s="563" t="s">
        <v>486</v>
      </c>
      <c r="Y11" s="563" t="s">
        <v>865</v>
      </c>
      <c r="Z11" s="563" t="s">
        <v>866</v>
      </c>
      <c r="AA11" s="566" t="s">
        <v>867</v>
      </c>
    </row>
    <row r="12" spans="1:38">
      <c r="A12" s="570">
        <v>1</v>
      </c>
      <c r="G12" s="351"/>
      <c r="H12" s="493"/>
      <c r="I12" s="494">
        <f>IF('Act Att-H'!D46=0,0,ROUND('Act Att-H'!D119/'Act Att-H'!D46,6)/12)</f>
        <v>1.7783333333333334E-3</v>
      </c>
      <c r="J12" s="495"/>
      <c r="K12" s="351"/>
      <c r="L12" s="275"/>
      <c r="M12" s="275"/>
      <c r="N12" s="275"/>
      <c r="O12" s="275"/>
      <c r="P12" s="278"/>
      <c r="Q12" s="694"/>
      <c r="R12" s="351"/>
      <c r="S12" s="275"/>
      <c r="T12" s="275"/>
      <c r="U12" s="275"/>
      <c r="V12" s="283"/>
      <c r="W12" s="351"/>
      <c r="X12" s="275"/>
      <c r="Y12" s="275"/>
      <c r="Z12" s="275"/>
      <c r="AA12" s="283"/>
    </row>
    <row r="13" spans="1:38">
      <c r="A13" s="570">
        <v>2</v>
      </c>
      <c r="G13" s="351"/>
      <c r="H13" s="275"/>
      <c r="I13" s="496"/>
      <c r="J13" s="283"/>
      <c r="K13" s="351"/>
      <c r="L13" s="275"/>
      <c r="M13" s="275"/>
      <c r="N13" s="275" t="s">
        <v>870</v>
      </c>
      <c r="O13" s="275"/>
      <c r="P13" s="278"/>
      <c r="Q13" s="694"/>
      <c r="R13" s="351"/>
      <c r="S13" s="275"/>
      <c r="T13" s="275"/>
      <c r="U13" s="275"/>
      <c r="V13" s="283"/>
      <c r="W13" s="351"/>
      <c r="X13" s="275"/>
      <c r="Y13" s="275"/>
      <c r="Z13" s="275"/>
      <c r="AA13" s="283"/>
    </row>
    <row r="14" spans="1:38" ht="25.5" customHeight="1">
      <c r="A14" s="570">
        <v>3</v>
      </c>
      <c r="B14" s="292"/>
      <c r="C14" s="292"/>
      <c r="D14" s="497"/>
      <c r="E14" s="498"/>
      <c r="F14" s="282"/>
      <c r="G14" s="576" t="s">
        <v>1240</v>
      </c>
      <c r="H14" s="350">
        <f>'A4-Rate Base'!D22</f>
        <v>109401329.69000001</v>
      </c>
      <c r="I14" s="498"/>
      <c r="J14" s="281">
        <f>'A4-Rate Base'!F45</f>
        <v>8646509.5184732489</v>
      </c>
      <c r="K14" s="351"/>
      <c r="L14" s="275"/>
      <c r="M14" s="282"/>
      <c r="N14" s="282"/>
      <c r="O14" s="275"/>
      <c r="P14" s="592">
        <v>3080075.9531846028</v>
      </c>
      <c r="Q14" s="695">
        <v>4440750.8040111065</v>
      </c>
      <c r="R14" s="351"/>
      <c r="S14" s="275"/>
      <c r="T14" s="275"/>
      <c r="U14" s="275"/>
      <c r="V14" s="283"/>
      <c r="W14" s="351"/>
      <c r="X14" s="275"/>
      <c r="Y14" s="275"/>
      <c r="Z14" s="275"/>
      <c r="AA14" s="283"/>
    </row>
    <row r="15" spans="1:38">
      <c r="G15" s="351"/>
      <c r="H15" s="275"/>
      <c r="I15" s="275"/>
      <c r="J15" s="283"/>
      <c r="K15" s="351"/>
      <c r="L15" s="275"/>
      <c r="M15" s="275"/>
      <c r="N15" s="275"/>
      <c r="O15" s="275"/>
      <c r="P15" s="278"/>
      <c r="Q15" s="694"/>
      <c r="R15" s="351"/>
      <c r="S15" s="275"/>
      <c r="T15" s="275"/>
      <c r="U15" s="275"/>
      <c r="V15" s="283"/>
      <c r="W15" s="351"/>
      <c r="X15" s="275"/>
      <c r="Y15" s="275"/>
      <c r="Z15" s="275"/>
      <c r="AA15" s="283"/>
    </row>
    <row r="16" spans="1:38" s="575" customFormat="1">
      <c r="A16" s="740"/>
      <c r="B16" s="741" t="s">
        <v>509</v>
      </c>
      <c r="C16" s="741"/>
      <c r="D16" s="741" t="s">
        <v>510</v>
      </c>
      <c r="E16" s="741" t="s">
        <v>511</v>
      </c>
      <c r="F16" s="741" t="s">
        <v>512</v>
      </c>
      <c r="G16" s="742" t="s">
        <v>513</v>
      </c>
      <c r="H16" s="741" t="s">
        <v>514</v>
      </c>
      <c r="I16" s="741" t="s">
        <v>879</v>
      </c>
      <c r="J16" s="743" t="s">
        <v>880</v>
      </c>
      <c r="K16" s="742" t="s">
        <v>881</v>
      </c>
      <c r="L16" s="741" t="s">
        <v>882</v>
      </c>
      <c r="M16" s="744" t="s">
        <v>883</v>
      </c>
      <c r="N16" s="741" t="s">
        <v>884</v>
      </c>
      <c r="O16" s="741" t="s">
        <v>885</v>
      </c>
      <c r="P16" s="741" t="s">
        <v>886</v>
      </c>
      <c r="Q16" s="745" t="s">
        <v>887</v>
      </c>
      <c r="R16" s="742" t="s">
        <v>888</v>
      </c>
      <c r="S16" s="741" t="s">
        <v>889</v>
      </c>
      <c r="T16" s="741" t="s">
        <v>890</v>
      </c>
      <c r="U16" s="741" t="s">
        <v>891</v>
      </c>
      <c r="V16" s="743" t="s">
        <v>892</v>
      </c>
      <c r="W16" s="742" t="s">
        <v>893</v>
      </c>
      <c r="X16" s="741" t="s">
        <v>1205</v>
      </c>
      <c r="Y16" s="741" t="s">
        <v>1206</v>
      </c>
      <c r="Z16" s="741" t="s">
        <v>1207</v>
      </c>
      <c r="AA16" s="743" t="s">
        <v>1208</v>
      </c>
    </row>
    <row r="17" spans="1:27">
      <c r="G17" s="352"/>
      <c r="H17" s="284"/>
      <c r="I17" s="275"/>
      <c r="J17" s="283"/>
      <c r="K17" s="351"/>
      <c r="L17" s="275"/>
      <c r="M17" s="275"/>
      <c r="N17" s="275"/>
      <c r="O17" s="275"/>
      <c r="P17" s="278"/>
      <c r="Q17" s="694"/>
      <c r="R17" s="351"/>
      <c r="S17" s="275"/>
      <c r="T17" s="275"/>
      <c r="U17" s="275"/>
      <c r="V17" s="283"/>
      <c r="W17" s="351"/>
      <c r="X17" s="275"/>
      <c r="Y17" s="275"/>
      <c r="Z17" s="275"/>
      <c r="AA17" s="283"/>
    </row>
    <row r="18" spans="1:27">
      <c r="A18" s="570">
        <f>+A14+1</f>
        <v>4</v>
      </c>
      <c r="B18" s="285">
        <v>44927</v>
      </c>
      <c r="C18" s="499"/>
      <c r="D18" s="409">
        <f>H18</f>
        <v>111943502.33000001</v>
      </c>
      <c r="E18" s="409">
        <f>I18</f>
        <v>194552.0312987167</v>
      </c>
      <c r="F18" s="409">
        <f>J18</f>
        <v>8841061.5497719664</v>
      </c>
      <c r="G18" s="500">
        <v>2542172.6399999987</v>
      </c>
      <c r="H18" s="501">
        <f>H$14+G18</f>
        <v>111943502.33000001</v>
      </c>
      <c r="I18" s="502">
        <f>I$12*H14</f>
        <v>194552.0312987167</v>
      </c>
      <c r="J18" s="503">
        <f>J14+I18</f>
        <v>8841061.5497719664</v>
      </c>
      <c r="K18" s="696">
        <f>G18</f>
        <v>2542172.6399999987</v>
      </c>
      <c r="L18" s="560">
        <v>0.05</v>
      </c>
      <c r="M18" s="560">
        <v>9.5000000000000001E-2</v>
      </c>
      <c r="N18" s="275">
        <f t="shared" ref="N18:N29" si="0">K18*L18</f>
        <v>127108.63199999994</v>
      </c>
      <c r="O18" s="275">
        <f t="shared" ref="O18:O29" si="1">K18*M18</f>
        <v>241506.40079999989</v>
      </c>
      <c r="P18" s="278">
        <f t="shared" ref="P18:P29" si="2">(P$14)/12</f>
        <v>256672.99609871689</v>
      </c>
      <c r="Q18" s="697"/>
      <c r="R18" s="706">
        <f>N$42/12+P18</f>
        <v>309503.25500948203</v>
      </c>
      <c r="S18" s="707">
        <f>E18</f>
        <v>194552.0312987167</v>
      </c>
      <c r="T18" s="707">
        <f>S18-R18</f>
        <v>-114951.22371076533</v>
      </c>
      <c r="U18" s="708">
        <f>+'Proj Att-H'!$D$133</f>
        <v>0.20999999999999996</v>
      </c>
      <c r="V18" s="709">
        <f>T18*U18</f>
        <v>-24139.756979260717</v>
      </c>
      <c r="W18" s="710"/>
      <c r="X18" s="698"/>
      <c r="Y18" s="698"/>
      <c r="Z18" s="698"/>
      <c r="AA18" s="697"/>
    </row>
    <row r="19" spans="1:27">
      <c r="A19" s="570">
        <f t="shared" ref="A19:A41" si="3">+A18+1</f>
        <v>5</v>
      </c>
      <c r="B19" s="285">
        <v>44958</v>
      </c>
      <c r="C19" s="499"/>
      <c r="D19" s="409">
        <f t="shared" ref="D19:D41" si="4">H19</f>
        <v>111947061.91000001</v>
      </c>
      <c r="E19" s="409">
        <f t="shared" ref="E19:E41" si="5">I19</f>
        <v>199072.86164351669</v>
      </c>
      <c r="F19" s="409">
        <f t="shared" ref="F19:F41" si="6">J19</f>
        <v>9040134.4114154838</v>
      </c>
      <c r="G19" s="500">
        <v>2545732.2199999988</v>
      </c>
      <c r="H19" s="501">
        <f t="shared" ref="H19:H41" si="7">H$14+G19</f>
        <v>111947061.91000001</v>
      </c>
      <c r="I19" s="502">
        <f>I$12*H18</f>
        <v>199072.86164351669</v>
      </c>
      <c r="J19" s="503">
        <f t="shared" ref="J19:J41" si="8">J18+I19</f>
        <v>9040134.4114154838</v>
      </c>
      <c r="K19" s="696">
        <f>G19-G18</f>
        <v>3559.5800000000745</v>
      </c>
      <c r="L19" s="560">
        <v>0.05</v>
      </c>
      <c r="M19" s="560">
        <v>9.5000000000000001E-2</v>
      </c>
      <c r="N19" s="275">
        <f t="shared" si="0"/>
        <v>177.97900000000374</v>
      </c>
      <c r="O19" s="275">
        <f t="shared" si="1"/>
        <v>338.16010000000711</v>
      </c>
      <c r="P19" s="278">
        <f t="shared" si="2"/>
        <v>256672.99609871689</v>
      </c>
      <c r="Q19" s="697"/>
      <c r="R19" s="706">
        <f t="shared" ref="R19:R29" si="9">N$42/12+P19</f>
        <v>309503.25500948203</v>
      </c>
      <c r="S19" s="707">
        <f t="shared" ref="S19:S29" si="10">E19</f>
        <v>199072.86164351669</v>
      </c>
      <c r="T19" s="707">
        <f t="shared" ref="T19:T29" si="11">S19-R19</f>
        <v>-110430.39336596534</v>
      </c>
      <c r="U19" s="708">
        <f>+'Proj Att-H'!$D$133</f>
        <v>0.20999999999999996</v>
      </c>
      <c r="V19" s="709">
        <f t="shared" ref="V19:V29" si="12">T19*U19</f>
        <v>-23190.382606852716</v>
      </c>
      <c r="W19" s="710"/>
      <c r="X19" s="698"/>
      <c r="Y19" s="698"/>
      <c r="Z19" s="698"/>
      <c r="AA19" s="697"/>
    </row>
    <row r="20" spans="1:27">
      <c r="A20" s="570">
        <f t="shared" si="3"/>
        <v>6</v>
      </c>
      <c r="B20" s="285">
        <v>44986</v>
      </c>
      <c r="C20" s="499"/>
      <c r="D20" s="409">
        <f t="shared" si="4"/>
        <v>111996914.48</v>
      </c>
      <c r="E20" s="409">
        <f t="shared" si="5"/>
        <v>199079.19176328336</v>
      </c>
      <c r="F20" s="409">
        <f t="shared" si="6"/>
        <v>9239213.6031787675</v>
      </c>
      <c r="G20" s="500">
        <v>2595584.7899999986</v>
      </c>
      <c r="H20" s="501">
        <f t="shared" si="7"/>
        <v>111996914.48</v>
      </c>
      <c r="I20" s="502">
        <f t="shared" ref="I20:I41" si="13">I$12*H19</f>
        <v>199079.19176328336</v>
      </c>
      <c r="J20" s="503">
        <f t="shared" si="8"/>
        <v>9239213.6031787675</v>
      </c>
      <c r="K20" s="696">
        <f t="shared" ref="K20:K41" si="14">G20-G19</f>
        <v>49852.569999999832</v>
      </c>
      <c r="L20" s="560">
        <v>0.05</v>
      </c>
      <c r="M20" s="560">
        <v>9.5000000000000001E-2</v>
      </c>
      <c r="N20" s="275">
        <f t="shared" si="0"/>
        <v>2492.6284999999916</v>
      </c>
      <c r="O20" s="275">
        <f t="shared" si="1"/>
        <v>4735.9941499999841</v>
      </c>
      <c r="P20" s="278">
        <f t="shared" si="2"/>
        <v>256672.99609871689</v>
      </c>
      <c r="Q20" s="697"/>
      <c r="R20" s="706">
        <f t="shared" si="9"/>
        <v>309503.25500948203</v>
      </c>
      <c r="S20" s="707">
        <f t="shared" si="10"/>
        <v>199079.19176328336</v>
      </c>
      <c r="T20" s="707">
        <f t="shared" si="11"/>
        <v>-110424.06324619867</v>
      </c>
      <c r="U20" s="708">
        <f>+'Proj Att-H'!$D$133</f>
        <v>0.20999999999999996</v>
      </c>
      <c r="V20" s="709">
        <f t="shared" si="12"/>
        <v>-23189.053281701716</v>
      </c>
      <c r="W20" s="710"/>
      <c r="X20" s="698"/>
      <c r="Y20" s="698"/>
      <c r="Z20" s="698"/>
      <c r="AA20" s="697"/>
    </row>
    <row r="21" spans="1:27">
      <c r="A21" s="570">
        <f t="shared" si="3"/>
        <v>7</v>
      </c>
      <c r="B21" s="285">
        <v>45017</v>
      </c>
      <c r="C21" s="499"/>
      <c r="D21" s="409">
        <f t="shared" si="4"/>
        <v>116491519.73000002</v>
      </c>
      <c r="E21" s="409">
        <f t="shared" si="5"/>
        <v>199167.84625026668</v>
      </c>
      <c r="F21" s="409">
        <f t="shared" si="6"/>
        <v>9438381.4494290333</v>
      </c>
      <c r="G21" s="500">
        <v>7090190.0399999991</v>
      </c>
      <c r="H21" s="501">
        <f t="shared" si="7"/>
        <v>116491519.73000002</v>
      </c>
      <c r="I21" s="502">
        <f t="shared" si="13"/>
        <v>199167.84625026668</v>
      </c>
      <c r="J21" s="503">
        <f t="shared" si="8"/>
        <v>9438381.4494290333</v>
      </c>
      <c r="K21" s="696">
        <f t="shared" si="14"/>
        <v>4494605.25</v>
      </c>
      <c r="L21" s="560">
        <v>0.05</v>
      </c>
      <c r="M21" s="560">
        <v>9.5000000000000001E-2</v>
      </c>
      <c r="N21" s="275">
        <f t="shared" si="0"/>
        <v>224730.26250000001</v>
      </c>
      <c r="O21" s="275">
        <f t="shared" si="1"/>
        <v>426987.49875000003</v>
      </c>
      <c r="P21" s="278">
        <f t="shared" si="2"/>
        <v>256672.99609871689</v>
      </c>
      <c r="Q21" s="697"/>
      <c r="R21" s="706">
        <f t="shared" si="9"/>
        <v>309503.25500948203</v>
      </c>
      <c r="S21" s="707">
        <f t="shared" si="10"/>
        <v>199167.84625026668</v>
      </c>
      <c r="T21" s="707">
        <f t="shared" si="11"/>
        <v>-110335.40875921535</v>
      </c>
      <c r="U21" s="708">
        <f>+'Proj Att-H'!$D$133</f>
        <v>0.20999999999999996</v>
      </c>
      <c r="V21" s="709">
        <f t="shared" si="12"/>
        <v>-23170.43583943522</v>
      </c>
      <c r="W21" s="710"/>
      <c r="X21" s="698"/>
      <c r="Y21" s="698"/>
      <c r="Z21" s="698"/>
      <c r="AA21" s="697"/>
    </row>
    <row r="22" spans="1:27">
      <c r="A22" s="570">
        <f t="shared" si="3"/>
        <v>8</v>
      </c>
      <c r="B22" s="285">
        <v>45047</v>
      </c>
      <c r="C22" s="499"/>
      <c r="D22" s="409">
        <f t="shared" si="4"/>
        <v>116553147.79000001</v>
      </c>
      <c r="E22" s="409">
        <f t="shared" si="5"/>
        <v>207160.7525865167</v>
      </c>
      <c r="F22" s="409">
        <f t="shared" si="6"/>
        <v>9645542.2020155508</v>
      </c>
      <c r="G22" s="500">
        <v>7151818.0999999987</v>
      </c>
      <c r="H22" s="501">
        <f t="shared" si="7"/>
        <v>116553147.79000001</v>
      </c>
      <c r="I22" s="502">
        <f t="shared" si="13"/>
        <v>207160.7525865167</v>
      </c>
      <c r="J22" s="503">
        <f t="shared" si="8"/>
        <v>9645542.2020155508</v>
      </c>
      <c r="K22" s="696">
        <f t="shared" si="14"/>
        <v>61628.05999999959</v>
      </c>
      <c r="L22" s="560">
        <v>0.05</v>
      </c>
      <c r="M22" s="560">
        <v>9.5000000000000001E-2</v>
      </c>
      <c r="N22" s="275">
        <f t="shared" si="0"/>
        <v>3081.4029999999798</v>
      </c>
      <c r="O22" s="275">
        <f t="shared" si="1"/>
        <v>5854.6656999999614</v>
      </c>
      <c r="P22" s="278">
        <f t="shared" si="2"/>
        <v>256672.99609871689</v>
      </c>
      <c r="Q22" s="697"/>
      <c r="R22" s="706">
        <f t="shared" si="9"/>
        <v>309503.25500948203</v>
      </c>
      <c r="S22" s="707">
        <f t="shared" si="10"/>
        <v>207160.7525865167</v>
      </c>
      <c r="T22" s="707">
        <f t="shared" si="11"/>
        <v>-102342.50242296534</v>
      </c>
      <c r="U22" s="708">
        <f>+'Proj Att-H'!$D$133</f>
        <v>0.20999999999999996</v>
      </c>
      <c r="V22" s="709">
        <f t="shared" si="12"/>
        <v>-21491.925508822718</v>
      </c>
      <c r="W22" s="710"/>
      <c r="X22" s="698"/>
      <c r="Y22" s="698"/>
      <c r="Z22" s="698"/>
      <c r="AA22" s="697"/>
    </row>
    <row r="23" spans="1:27">
      <c r="A23" s="570">
        <f t="shared" si="3"/>
        <v>9</v>
      </c>
      <c r="B23" s="285">
        <v>45078</v>
      </c>
      <c r="C23" s="499"/>
      <c r="D23" s="409">
        <f t="shared" si="4"/>
        <v>116607238.12</v>
      </c>
      <c r="E23" s="409">
        <f t="shared" si="5"/>
        <v>207270.34781988335</v>
      </c>
      <c r="F23" s="409">
        <f t="shared" si="6"/>
        <v>9852812.5498354342</v>
      </c>
      <c r="G23" s="500">
        <v>7205908.4299999988</v>
      </c>
      <c r="H23" s="501">
        <f t="shared" si="7"/>
        <v>116607238.12</v>
      </c>
      <c r="I23" s="502">
        <f t="shared" si="13"/>
        <v>207270.34781988335</v>
      </c>
      <c r="J23" s="503">
        <f t="shared" si="8"/>
        <v>9852812.5498354342</v>
      </c>
      <c r="K23" s="696">
        <f t="shared" si="14"/>
        <v>54090.330000000075</v>
      </c>
      <c r="L23" s="560">
        <v>0.05</v>
      </c>
      <c r="M23" s="560">
        <v>9.5000000000000001E-2</v>
      </c>
      <c r="N23" s="275">
        <f t="shared" si="0"/>
        <v>2704.5165000000038</v>
      </c>
      <c r="O23" s="275">
        <f t="shared" si="1"/>
        <v>5138.5813500000068</v>
      </c>
      <c r="P23" s="278">
        <f t="shared" si="2"/>
        <v>256672.99609871689</v>
      </c>
      <c r="Q23" s="697"/>
      <c r="R23" s="706">
        <f t="shared" si="9"/>
        <v>309503.25500948203</v>
      </c>
      <c r="S23" s="707">
        <f t="shared" si="10"/>
        <v>207270.34781988335</v>
      </c>
      <c r="T23" s="707">
        <f t="shared" si="11"/>
        <v>-102232.90718959869</v>
      </c>
      <c r="U23" s="708">
        <f>+'Proj Att-H'!$D$133</f>
        <v>0.20999999999999996</v>
      </c>
      <c r="V23" s="709">
        <f t="shared" si="12"/>
        <v>-21468.91050981572</v>
      </c>
      <c r="W23" s="710"/>
      <c r="X23" s="698"/>
      <c r="Y23" s="698"/>
      <c r="Z23" s="698"/>
      <c r="AA23" s="697"/>
    </row>
    <row r="24" spans="1:27">
      <c r="A24" s="570">
        <f t="shared" si="3"/>
        <v>10</v>
      </c>
      <c r="B24" s="285">
        <v>45108</v>
      </c>
      <c r="C24" s="499"/>
      <c r="D24" s="409">
        <f t="shared" si="4"/>
        <v>118961583.69000001</v>
      </c>
      <c r="E24" s="409">
        <f t="shared" si="5"/>
        <v>207366.53845673334</v>
      </c>
      <c r="F24" s="409">
        <f t="shared" si="6"/>
        <v>10060179.088292167</v>
      </c>
      <c r="G24" s="500">
        <v>9560254</v>
      </c>
      <c r="H24" s="501">
        <f t="shared" si="7"/>
        <v>118961583.69000001</v>
      </c>
      <c r="I24" s="502">
        <f t="shared" si="13"/>
        <v>207366.53845673334</v>
      </c>
      <c r="J24" s="503">
        <f t="shared" si="8"/>
        <v>10060179.088292167</v>
      </c>
      <c r="K24" s="696">
        <f t="shared" si="14"/>
        <v>2354345.5700000012</v>
      </c>
      <c r="L24" s="560">
        <v>0.05</v>
      </c>
      <c r="M24" s="560">
        <v>9.5000000000000001E-2</v>
      </c>
      <c r="N24" s="275">
        <f t="shared" si="0"/>
        <v>117717.27850000007</v>
      </c>
      <c r="O24" s="275">
        <f t="shared" si="1"/>
        <v>223662.82915000012</v>
      </c>
      <c r="P24" s="278">
        <f t="shared" si="2"/>
        <v>256672.99609871689</v>
      </c>
      <c r="Q24" s="697"/>
      <c r="R24" s="706">
        <f t="shared" si="9"/>
        <v>309503.25500948203</v>
      </c>
      <c r="S24" s="707">
        <f t="shared" si="10"/>
        <v>207366.53845673334</v>
      </c>
      <c r="T24" s="707">
        <f t="shared" si="11"/>
        <v>-102136.71655274869</v>
      </c>
      <c r="U24" s="708">
        <f>+'Proj Att-H'!$D$133</f>
        <v>0.20999999999999996</v>
      </c>
      <c r="V24" s="709">
        <f t="shared" si="12"/>
        <v>-21448.710476077224</v>
      </c>
      <c r="W24" s="710"/>
      <c r="X24" s="698"/>
      <c r="Y24" s="698"/>
      <c r="Z24" s="698"/>
      <c r="AA24" s="697"/>
    </row>
    <row r="25" spans="1:27">
      <c r="A25" s="570">
        <f t="shared" si="3"/>
        <v>11</v>
      </c>
      <c r="B25" s="285">
        <v>45139</v>
      </c>
      <c r="C25" s="499"/>
      <c r="D25" s="409">
        <f t="shared" si="4"/>
        <v>118960729.92000002</v>
      </c>
      <c r="E25" s="409">
        <f t="shared" si="5"/>
        <v>211553.34966205002</v>
      </c>
      <c r="F25" s="409">
        <f t="shared" si="6"/>
        <v>10271732.437954217</v>
      </c>
      <c r="G25" s="500">
        <v>9559400.2300000004</v>
      </c>
      <c r="H25" s="501">
        <f t="shared" si="7"/>
        <v>118960729.92000002</v>
      </c>
      <c r="I25" s="502">
        <f t="shared" si="13"/>
        <v>211553.34966205002</v>
      </c>
      <c r="J25" s="503">
        <f t="shared" si="8"/>
        <v>10271732.437954217</v>
      </c>
      <c r="K25" s="696">
        <f t="shared" si="14"/>
        <v>-853.76999999955297</v>
      </c>
      <c r="L25" s="560">
        <v>0.05</v>
      </c>
      <c r="M25" s="560">
        <v>9.5000000000000001E-2</v>
      </c>
      <c r="N25" s="275">
        <f t="shared" si="0"/>
        <v>-42.688499999977651</v>
      </c>
      <c r="O25" s="275">
        <f t="shared" si="1"/>
        <v>-81.108149999957533</v>
      </c>
      <c r="P25" s="278">
        <f t="shared" si="2"/>
        <v>256672.99609871689</v>
      </c>
      <c r="Q25" s="697"/>
      <c r="R25" s="706">
        <f t="shared" si="9"/>
        <v>309503.25500948203</v>
      </c>
      <c r="S25" s="707">
        <f t="shared" si="10"/>
        <v>211553.34966205002</v>
      </c>
      <c r="T25" s="707">
        <f t="shared" si="11"/>
        <v>-97949.90534743201</v>
      </c>
      <c r="U25" s="708">
        <f>+'Proj Att-H'!$D$133</f>
        <v>0.20999999999999996</v>
      </c>
      <c r="V25" s="709">
        <f t="shared" si="12"/>
        <v>-20569.480122960718</v>
      </c>
      <c r="W25" s="710"/>
      <c r="X25" s="698"/>
      <c r="Y25" s="698"/>
      <c r="Z25" s="698"/>
      <c r="AA25" s="697"/>
    </row>
    <row r="26" spans="1:27">
      <c r="A26" s="570">
        <f t="shared" si="3"/>
        <v>12</v>
      </c>
      <c r="B26" s="285">
        <v>45170</v>
      </c>
      <c r="C26" s="499"/>
      <c r="D26" s="409">
        <f t="shared" si="4"/>
        <v>118963986.5394749</v>
      </c>
      <c r="E26" s="409">
        <f t="shared" si="5"/>
        <v>211551.83137440003</v>
      </c>
      <c r="F26" s="409">
        <f t="shared" si="6"/>
        <v>10483284.269328617</v>
      </c>
      <c r="G26" s="500">
        <v>9562656.8494748883</v>
      </c>
      <c r="H26" s="501">
        <f t="shared" si="7"/>
        <v>118963986.5394749</v>
      </c>
      <c r="I26" s="502">
        <f t="shared" si="13"/>
        <v>211551.83137440003</v>
      </c>
      <c r="J26" s="503">
        <f t="shared" si="8"/>
        <v>10483284.269328617</v>
      </c>
      <c r="K26" s="696">
        <f t="shared" si="14"/>
        <v>3256.6194748878479</v>
      </c>
      <c r="L26" s="560">
        <v>0.05</v>
      </c>
      <c r="M26" s="560">
        <v>9.5000000000000001E-2</v>
      </c>
      <c r="N26" s="275">
        <f t="shared" si="0"/>
        <v>162.8309737443924</v>
      </c>
      <c r="O26" s="275">
        <f t="shared" si="1"/>
        <v>309.37885011434554</v>
      </c>
      <c r="P26" s="278">
        <f t="shared" si="2"/>
        <v>256672.99609871689</v>
      </c>
      <c r="Q26" s="697"/>
      <c r="R26" s="706">
        <f t="shared" si="9"/>
        <v>309503.25500948203</v>
      </c>
      <c r="S26" s="707">
        <f t="shared" si="10"/>
        <v>211551.83137440003</v>
      </c>
      <c r="T26" s="707">
        <f t="shared" si="11"/>
        <v>-97951.423635081999</v>
      </c>
      <c r="U26" s="708">
        <f>+'Proj Att-H'!$D$133</f>
        <v>0.20999999999999996</v>
      </c>
      <c r="V26" s="709">
        <f t="shared" si="12"/>
        <v>-20569.798963367215</v>
      </c>
      <c r="W26" s="710"/>
      <c r="X26" s="698"/>
      <c r="Y26" s="698"/>
      <c r="Z26" s="698"/>
      <c r="AA26" s="697"/>
    </row>
    <row r="27" spans="1:27">
      <c r="A27" s="570">
        <f t="shared" si="3"/>
        <v>13</v>
      </c>
      <c r="B27" s="285">
        <v>45200</v>
      </c>
      <c r="C27" s="499"/>
      <c r="D27" s="409">
        <f t="shared" si="4"/>
        <v>121507628.07432128</v>
      </c>
      <c r="E27" s="409">
        <f t="shared" si="5"/>
        <v>211557.62272936621</v>
      </c>
      <c r="F27" s="409">
        <f t="shared" si="6"/>
        <v>10694841.892057983</v>
      </c>
      <c r="G27" s="500">
        <v>12106298.384321267</v>
      </c>
      <c r="H27" s="501">
        <f t="shared" si="7"/>
        <v>121507628.07432128</v>
      </c>
      <c r="I27" s="502">
        <f t="shared" si="13"/>
        <v>211557.62272936621</v>
      </c>
      <c r="J27" s="503">
        <f t="shared" si="8"/>
        <v>10694841.892057983</v>
      </c>
      <c r="K27" s="696">
        <f t="shared" si="14"/>
        <v>2543641.5348463785</v>
      </c>
      <c r="L27" s="560">
        <v>0.05</v>
      </c>
      <c r="M27" s="560">
        <v>9.5000000000000001E-2</v>
      </c>
      <c r="N27" s="275">
        <f t="shared" si="0"/>
        <v>127182.07674231892</v>
      </c>
      <c r="O27" s="275">
        <f t="shared" si="1"/>
        <v>241645.94581040594</v>
      </c>
      <c r="P27" s="278">
        <f t="shared" si="2"/>
        <v>256672.99609871689</v>
      </c>
      <c r="Q27" s="697"/>
      <c r="R27" s="706">
        <f t="shared" si="9"/>
        <v>309503.25500948203</v>
      </c>
      <c r="S27" s="707">
        <f t="shared" si="10"/>
        <v>211557.62272936621</v>
      </c>
      <c r="T27" s="707">
        <f t="shared" si="11"/>
        <v>-97945.632280115824</v>
      </c>
      <c r="U27" s="708">
        <f>+'Proj Att-H'!$D$133</f>
        <v>0.20999999999999996</v>
      </c>
      <c r="V27" s="709">
        <f t="shared" si="12"/>
        <v>-20568.582778824319</v>
      </c>
      <c r="W27" s="710"/>
      <c r="X27" s="698"/>
      <c r="Y27" s="698"/>
      <c r="Z27" s="698"/>
      <c r="AA27" s="697"/>
    </row>
    <row r="28" spans="1:27">
      <c r="A28" s="570">
        <f t="shared" si="3"/>
        <v>14</v>
      </c>
      <c r="B28" s="285">
        <v>45231</v>
      </c>
      <c r="C28" s="499"/>
      <c r="D28" s="409">
        <f t="shared" si="4"/>
        <v>121550038.58261518</v>
      </c>
      <c r="E28" s="409">
        <f t="shared" si="5"/>
        <v>216081.06525883469</v>
      </c>
      <c r="F28" s="409">
        <f t="shared" si="6"/>
        <v>10910922.957316818</v>
      </c>
      <c r="G28" s="500">
        <v>12148708.892615166</v>
      </c>
      <c r="H28" s="501">
        <f t="shared" si="7"/>
        <v>121550038.58261518</v>
      </c>
      <c r="I28" s="502">
        <f t="shared" si="13"/>
        <v>216081.06525883469</v>
      </c>
      <c r="J28" s="503">
        <f t="shared" si="8"/>
        <v>10910922.957316818</v>
      </c>
      <c r="K28" s="696">
        <f t="shared" si="14"/>
        <v>42410.508293898776</v>
      </c>
      <c r="L28" s="560">
        <v>0.05</v>
      </c>
      <c r="M28" s="560">
        <v>9.5000000000000001E-2</v>
      </c>
      <c r="N28" s="275">
        <f t="shared" si="0"/>
        <v>2120.5254146949387</v>
      </c>
      <c r="O28" s="275">
        <f t="shared" si="1"/>
        <v>4028.998287920384</v>
      </c>
      <c r="P28" s="278">
        <f t="shared" si="2"/>
        <v>256672.99609871689</v>
      </c>
      <c r="Q28" s="697"/>
      <c r="R28" s="706">
        <f t="shared" si="9"/>
        <v>309503.25500948203</v>
      </c>
      <c r="S28" s="707">
        <f t="shared" si="10"/>
        <v>216081.06525883469</v>
      </c>
      <c r="T28" s="707">
        <f t="shared" si="11"/>
        <v>-93422.189750647347</v>
      </c>
      <c r="U28" s="708">
        <f>+'Proj Att-H'!$D$133</f>
        <v>0.20999999999999996</v>
      </c>
      <c r="V28" s="709">
        <f t="shared" si="12"/>
        <v>-19618.65984763594</v>
      </c>
      <c r="W28" s="710"/>
      <c r="X28" s="698"/>
      <c r="Y28" s="698"/>
      <c r="Z28" s="698"/>
      <c r="AA28" s="697"/>
    </row>
    <row r="29" spans="1:27">
      <c r="A29" s="570">
        <f t="shared" si="3"/>
        <v>15</v>
      </c>
      <c r="B29" s="285">
        <v>45261</v>
      </c>
      <c r="C29" s="499"/>
      <c r="D29" s="409">
        <f t="shared" si="4"/>
        <v>122080591.82858366</v>
      </c>
      <c r="E29" s="409">
        <f t="shared" si="5"/>
        <v>216156.48527941733</v>
      </c>
      <c r="F29" s="409">
        <f t="shared" si="6"/>
        <v>11127079.442596234</v>
      </c>
      <c r="G29" s="500">
        <v>12679262.13858364</v>
      </c>
      <c r="H29" s="501">
        <f t="shared" si="7"/>
        <v>122080591.82858366</v>
      </c>
      <c r="I29" s="502">
        <f>I$12*H28</f>
        <v>216156.48527941733</v>
      </c>
      <c r="J29" s="503">
        <f t="shared" si="8"/>
        <v>11127079.442596234</v>
      </c>
      <c r="K29" s="696">
        <f t="shared" si="14"/>
        <v>530553.24596847408</v>
      </c>
      <c r="L29" s="560">
        <v>0.05</v>
      </c>
      <c r="M29" s="560">
        <v>9.5000000000000001E-2</v>
      </c>
      <c r="N29" s="275">
        <f t="shared" si="0"/>
        <v>26527.662298423704</v>
      </c>
      <c r="O29" s="275">
        <f t="shared" si="1"/>
        <v>50402.55836700504</v>
      </c>
      <c r="P29" s="278">
        <f t="shared" si="2"/>
        <v>256672.99609871689</v>
      </c>
      <c r="Q29" s="697"/>
      <c r="R29" s="706">
        <f t="shared" si="9"/>
        <v>309503.25500948203</v>
      </c>
      <c r="S29" s="707">
        <f t="shared" si="10"/>
        <v>216156.48527941733</v>
      </c>
      <c r="T29" s="707">
        <f t="shared" si="11"/>
        <v>-93346.769730064698</v>
      </c>
      <c r="U29" s="708">
        <f>+'Proj Att-H'!$D$133</f>
        <v>0.20999999999999996</v>
      </c>
      <c r="V29" s="709">
        <f t="shared" si="12"/>
        <v>-19602.821643313582</v>
      </c>
      <c r="W29" s="710"/>
      <c r="X29" s="698"/>
      <c r="Y29" s="698"/>
      <c r="Z29" s="698"/>
      <c r="AA29" s="697"/>
    </row>
    <row r="30" spans="1:27">
      <c r="A30" s="570">
        <f>+A29+1</f>
        <v>16</v>
      </c>
      <c r="B30" s="285">
        <v>45292</v>
      </c>
      <c r="C30" s="499"/>
      <c r="D30" s="409">
        <f t="shared" si="4"/>
        <v>122118766.33887523</v>
      </c>
      <c r="E30" s="409">
        <f t="shared" si="5"/>
        <v>217099.98580183127</v>
      </c>
      <c r="F30" s="409">
        <f t="shared" si="6"/>
        <v>11344179.428398065</v>
      </c>
      <c r="G30" s="500">
        <v>12717436.648875225</v>
      </c>
      <c r="H30" s="501">
        <f t="shared" si="7"/>
        <v>122118766.33887523</v>
      </c>
      <c r="I30" s="502">
        <f t="shared" si="13"/>
        <v>217099.98580183127</v>
      </c>
      <c r="J30" s="503">
        <f t="shared" si="8"/>
        <v>11344179.428398065</v>
      </c>
      <c r="K30" s="696">
        <f t="shared" si="14"/>
        <v>38174.510291585699</v>
      </c>
      <c r="L30" s="560">
        <v>0.05</v>
      </c>
      <c r="M30" s="560">
        <v>9.5000000000000001E-2</v>
      </c>
      <c r="N30" s="698"/>
      <c r="O30" s="275">
        <f t="shared" ref="O30:O41" si="15">K30*L30</f>
        <v>1908.7255145792851</v>
      </c>
      <c r="P30" s="698"/>
      <c r="Q30" s="694">
        <f>(Q$14)/12</f>
        <v>370062.56700092554</v>
      </c>
      <c r="R30" s="710"/>
      <c r="S30" s="698"/>
      <c r="T30" s="698"/>
      <c r="U30" s="698"/>
      <c r="V30" s="697"/>
      <c r="W30" s="714">
        <f>(O$42/12)+Q30</f>
        <v>707711.71524268901</v>
      </c>
      <c r="X30" s="707">
        <f>E30</f>
        <v>217099.98580183127</v>
      </c>
      <c r="Y30" s="707">
        <f>X30-W30</f>
        <v>-490611.72944085777</v>
      </c>
      <c r="Z30" s="708">
        <f>+'Proj Att-H'!$D$133</f>
        <v>0.20999999999999996</v>
      </c>
      <c r="AA30" s="709">
        <f>Z30*Y30</f>
        <v>-103028.46318258012</v>
      </c>
    </row>
    <row r="31" spans="1:27">
      <c r="A31" s="570">
        <f t="shared" si="3"/>
        <v>17</v>
      </c>
      <c r="B31" s="285">
        <v>45323</v>
      </c>
      <c r="C31" s="499"/>
      <c r="D31" s="409">
        <f t="shared" si="4"/>
        <v>122157059.53633958</v>
      </c>
      <c r="E31" s="409">
        <f t="shared" si="5"/>
        <v>217167.87280596647</v>
      </c>
      <c r="F31" s="409">
        <f t="shared" si="6"/>
        <v>11561347.301204031</v>
      </c>
      <c r="G31" s="500">
        <v>12755729.846339567</v>
      </c>
      <c r="H31" s="501">
        <f t="shared" si="7"/>
        <v>122157059.53633958</v>
      </c>
      <c r="I31" s="502">
        <f t="shared" si="13"/>
        <v>217167.87280596647</v>
      </c>
      <c r="J31" s="503">
        <f t="shared" si="8"/>
        <v>11561347.301204031</v>
      </c>
      <c r="K31" s="696">
        <f t="shared" si="14"/>
        <v>38293.197464341298</v>
      </c>
      <c r="L31" s="560">
        <v>0.05</v>
      </c>
      <c r="M31" s="560">
        <v>9.5000000000000001E-2</v>
      </c>
      <c r="N31" s="698"/>
      <c r="O31" s="275">
        <f t="shared" si="15"/>
        <v>1914.6598732170651</v>
      </c>
      <c r="P31" s="698"/>
      <c r="Q31" s="694">
        <f t="shared" ref="Q31:Q41" si="16">(Q$14)/12</f>
        <v>370062.56700092554</v>
      </c>
      <c r="R31" s="710"/>
      <c r="S31" s="698"/>
      <c r="T31" s="698"/>
      <c r="U31" s="698"/>
      <c r="V31" s="697"/>
      <c r="W31" s="714">
        <f t="shared" ref="W31:W41" si="17">(O$42/12)+Q31</f>
        <v>707711.71524268901</v>
      </c>
      <c r="X31" s="707">
        <f t="shared" ref="X31:X41" si="18">E31</f>
        <v>217167.87280596647</v>
      </c>
      <c r="Y31" s="707">
        <f t="shared" ref="Y31:Y41" si="19">X31-W31</f>
        <v>-490543.84243672254</v>
      </c>
      <c r="Z31" s="708">
        <f>+'Proj Att-H'!$D$133</f>
        <v>0.20999999999999996</v>
      </c>
      <c r="AA31" s="709">
        <f t="shared" ref="AA31:AA41" si="20">Z31*Y31</f>
        <v>-103014.20691171172</v>
      </c>
    </row>
    <row r="32" spans="1:27">
      <c r="A32" s="570">
        <f t="shared" si="3"/>
        <v>18</v>
      </c>
      <c r="B32" s="285">
        <v>45352</v>
      </c>
      <c r="C32" s="499"/>
      <c r="D32" s="409">
        <f t="shared" si="4"/>
        <v>122723050.02920875</v>
      </c>
      <c r="E32" s="409">
        <f t="shared" si="5"/>
        <v>217235.97087545722</v>
      </c>
      <c r="F32" s="409">
        <f t="shared" si="6"/>
        <v>11778583.272079488</v>
      </c>
      <c r="G32" s="500">
        <v>13321720.339208741</v>
      </c>
      <c r="H32" s="501">
        <f t="shared" si="7"/>
        <v>122723050.02920875</v>
      </c>
      <c r="I32" s="502">
        <f t="shared" si="13"/>
        <v>217235.97087545722</v>
      </c>
      <c r="J32" s="503">
        <f t="shared" si="8"/>
        <v>11778583.272079488</v>
      </c>
      <c r="K32" s="696">
        <f t="shared" si="14"/>
        <v>565990.49286917411</v>
      </c>
      <c r="L32" s="560">
        <v>0.05</v>
      </c>
      <c r="M32" s="560">
        <v>9.5000000000000001E-2</v>
      </c>
      <c r="N32" s="698"/>
      <c r="O32" s="275">
        <f t="shared" si="15"/>
        <v>28299.524643458706</v>
      </c>
      <c r="P32" s="698"/>
      <c r="Q32" s="694">
        <f t="shared" si="16"/>
        <v>370062.56700092554</v>
      </c>
      <c r="R32" s="710"/>
      <c r="S32" s="698"/>
      <c r="T32" s="698"/>
      <c r="U32" s="698"/>
      <c r="V32" s="697"/>
      <c r="W32" s="714">
        <f t="shared" si="17"/>
        <v>707711.71524268901</v>
      </c>
      <c r="X32" s="707">
        <f t="shared" si="18"/>
        <v>217235.97087545722</v>
      </c>
      <c r="Y32" s="707">
        <f t="shared" si="19"/>
        <v>-490475.74436723179</v>
      </c>
      <c r="Z32" s="708">
        <f>+'Proj Att-H'!$D$133</f>
        <v>0.20999999999999996</v>
      </c>
      <c r="AA32" s="709">
        <f t="shared" si="20"/>
        <v>-102999.90631711866</v>
      </c>
    </row>
    <row r="33" spans="1:27">
      <c r="A33" s="570">
        <f t="shared" si="3"/>
        <v>19</v>
      </c>
      <c r="B33" s="285">
        <v>45383</v>
      </c>
      <c r="C33" s="499"/>
      <c r="D33" s="409">
        <f t="shared" si="4"/>
        <v>122850983.89697985</v>
      </c>
      <c r="E33" s="409">
        <f t="shared" si="5"/>
        <v>218242.49063527622</v>
      </c>
      <c r="F33" s="409">
        <f t="shared" si="6"/>
        <v>11996825.762714764</v>
      </c>
      <c r="G33" s="500">
        <v>13449654.206979835</v>
      </c>
      <c r="H33" s="501">
        <f t="shared" si="7"/>
        <v>122850983.89697985</v>
      </c>
      <c r="I33" s="502">
        <f t="shared" si="13"/>
        <v>218242.49063527622</v>
      </c>
      <c r="J33" s="503">
        <f t="shared" si="8"/>
        <v>11996825.762714764</v>
      </c>
      <c r="K33" s="696">
        <f t="shared" si="14"/>
        <v>127933.86777109466</v>
      </c>
      <c r="L33" s="560">
        <v>0.05</v>
      </c>
      <c r="M33" s="560">
        <v>9.5000000000000001E-2</v>
      </c>
      <c r="N33" s="698"/>
      <c r="O33" s="275">
        <f t="shared" si="15"/>
        <v>6396.6933885547332</v>
      </c>
      <c r="P33" s="698"/>
      <c r="Q33" s="694">
        <f t="shared" si="16"/>
        <v>370062.56700092554</v>
      </c>
      <c r="R33" s="710"/>
      <c r="S33" s="698"/>
      <c r="T33" s="698"/>
      <c r="U33" s="698"/>
      <c r="V33" s="697"/>
      <c r="W33" s="714">
        <f t="shared" si="17"/>
        <v>707711.71524268901</v>
      </c>
      <c r="X33" s="707">
        <f t="shared" si="18"/>
        <v>218242.49063527622</v>
      </c>
      <c r="Y33" s="707">
        <f t="shared" si="19"/>
        <v>-489469.22460741282</v>
      </c>
      <c r="Z33" s="708">
        <f>+'Proj Att-H'!$D$133</f>
        <v>0.20999999999999996</v>
      </c>
      <c r="AA33" s="709">
        <f t="shared" si="20"/>
        <v>-102788.53716755667</v>
      </c>
    </row>
    <row r="34" spans="1:27">
      <c r="A34" s="570">
        <f t="shared" si="3"/>
        <v>20</v>
      </c>
      <c r="B34" s="285">
        <v>45413</v>
      </c>
      <c r="C34" s="499"/>
      <c r="D34" s="409">
        <f t="shared" si="4"/>
        <v>122885315.10865746</v>
      </c>
      <c r="E34" s="409">
        <f t="shared" si="5"/>
        <v>218469.99969679586</v>
      </c>
      <c r="F34" s="409">
        <f t="shared" si="6"/>
        <v>12215295.762411561</v>
      </c>
      <c r="G34" s="500">
        <v>13483985.418657457</v>
      </c>
      <c r="H34" s="501">
        <f t="shared" si="7"/>
        <v>122885315.10865746</v>
      </c>
      <c r="I34" s="502">
        <f t="shared" si="13"/>
        <v>218469.99969679586</v>
      </c>
      <c r="J34" s="503">
        <f t="shared" si="8"/>
        <v>12215295.762411561</v>
      </c>
      <c r="K34" s="696">
        <f t="shared" si="14"/>
        <v>34331.21167762205</v>
      </c>
      <c r="L34" s="560">
        <v>0.05</v>
      </c>
      <c r="M34" s="560">
        <v>9.5000000000000001E-2</v>
      </c>
      <c r="N34" s="698"/>
      <c r="O34" s="275">
        <f t="shared" si="15"/>
        <v>1716.5605838811025</v>
      </c>
      <c r="P34" s="698"/>
      <c r="Q34" s="694">
        <f t="shared" si="16"/>
        <v>370062.56700092554</v>
      </c>
      <c r="R34" s="710"/>
      <c r="S34" s="698"/>
      <c r="T34" s="698"/>
      <c r="U34" s="698"/>
      <c r="V34" s="697"/>
      <c r="W34" s="714">
        <f t="shared" si="17"/>
        <v>707711.71524268901</v>
      </c>
      <c r="X34" s="707">
        <f t="shared" si="18"/>
        <v>218469.99969679586</v>
      </c>
      <c r="Y34" s="707">
        <f t="shared" si="19"/>
        <v>-489241.71554589318</v>
      </c>
      <c r="Z34" s="708">
        <f>+'Proj Att-H'!$D$133</f>
        <v>0.20999999999999996</v>
      </c>
      <c r="AA34" s="709">
        <f t="shared" si="20"/>
        <v>-102740.76026463755</v>
      </c>
    </row>
    <row r="35" spans="1:27">
      <c r="A35" s="570">
        <f t="shared" si="3"/>
        <v>21</v>
      </c>
      <c r="B35" s="285">
        <v>45444</v>
      </c>
      <c r="C35" s="499"/>
      <c r="D35" s="409">
        <f t="shared" si="4"/>
        <v>163122623.83109143</v>
      </c>
      <c r="E35" s="409">
        <f t="shared" si="5"/>
        <v>218531.05203489587</v>
      </c>
      <c r="F35" s="409">
        <f t="shared" si="6"/>
        <v>12433826.814446457</v>
      </c>
      <c r="G35" s="500">
        <v>53721294.141091421</v>
      </c>
      <c r="H35" s="501">
        <f t="shared" si="7"/>
        <v>163122623.83109143</v>
      </c>
      <c r="I35" s="502">
        <f t="shared" si="13"/>
        <v>218531.05203489587</v>
      </c>
      <c r="J35" s="503">
        <f t="shared" si="8"/>
        <v>12433826.814446457</v>
      </c>
      <c r="K35" s="696">
        <f t="shared" si="14"/>
        <v>40237308.722433962</v>
      </c>
      <c r="L35" s="560">
        <v>0.05</v>
      </c>
      <c r="M35" s="560">
        <v>9.5000000000000001E-2</v>
      </c>
      <c r="N35" s="698"/>
      <c r="O35" s="275">
        <f t="shared" si="15"/>
        <v>2011865.4361216982</v>
      </c>
      <c r="P35" s="698"/>
      <c r="Q35" s="694">
        <f t="shared" si="16"/>
        <v>370062.56700092554</v>
      </c>
      <c r="R35" s="710"/>
      <c r="S35" s="698"/>
      <c r="T35" s="698"/>
      <c r="U35" s="698"/>
      <c r="V35" s="697"/>
      <c r="W35" s="714">
        <f t="shared" si="17"/>
        <v>707711.71524268901</v>
      </c>
      <c r="X35" s="707">
        <f t="shared" si="18"/>
        <v>218531.05203489587</v>
      </c>
      <c r="Y35" s="707">
        <f t="shared" si="19"/>
        <v>-489180.66320779314</v>
      </c>
      <c r="Z35" s="708">
        <f>+'Proj Att-H'!$D$133</f>
        <v>0.20999999999999996</v>
      </c>
      <c r="AA35" s="709">
        <f t="shared" si="20"/>
        <v>-102727.93927363654</v>
      </c>
    </row>
    <row r="36" spans="1:27">
      <c r="A36" s="570">
        <f t="shared" si="3"/>
        <v>22</v>
      </c>
      <c r="B36" s="285">
        <v>45474</v>
      </c>
      <c r="C36" s="499"/>
      <c r="D36" s="409">
        <f t="shared" si="4"/>
        <v>164541682.80497485</v>
      </c>
      <c r="E36" s="409">
        <f t="shared" si="5"/>
        <v>290086.39937962429</v>
      </c>
      <c r="F36" s="409">
        <f t="shared" si="6"/>
        <v>12723913.213826081</v>
      </c>
      <c r="G36" s="500">
        <v>55140353.114974827</v>
      </c>
      <c r="H36" s="501">
        <f t="shared" si="7"/>
        <v>164541682.80497485</v>
      </c>
      <c r="I36" s="502">
        <f t="shared" si="13"/>
        <v>290086.39937962429</v>
      </c>
      <c r="J36" s="503">
        <f t="shared" si="8"/>
        <v>12723913.213826081</v>
      </c>
      <c r="K36" s="696">
        <f t="shared" si="14"/>
        <v>1419058.9738834053</v>
      </c>
      <c r="L36" s="560">
        <v>0.05</v>
      </c>
      <c r="M36" s="560">
        <v>9.5000000000000001E-2</v>
      </c>
      <c r="N36" s="698"/>
      <c r="O36" s="275">
        <f t="shared" si="15"/>
        <v>70952.948694170263</v>
      </c>
      <c r="P36" s="698"/>
      <c r="Q36" s="694">
        <f t="shared" si="16"/>
        <v>370062.56700092554</v>
      </c>
      <c r="R36" s="710"/>
      <c r="S36" s="698"/>
      <c r="T36" s="698"/>
      <c r="U36" s="698"/>
      <c r="V36" s="697"/>
      <c r="W36" s="714">
        <f t="shared" si="17"/>
        <v>707711.71524268901</v>
      </c>
      <c r="X36" s="707">
        <f t="shared" si="18"/>
        <v>290086.39937962429</v>
      </c>
      <c r="Y36" s="707">
        <f t="shared" si="19"/>
        <v>-417625.31586306472</v>
      </c>
      <c r="Z36" s="708">
        <f>+'Proj Att-H'!$D$133</f>
        <v>0.20999999999999996</v>
      </c>
      <c r="AA36" s="709">
        <f t="shared" si="20"/>
        <v>-87701.316331243579</v>
      </c>
    </row>
    <row r="37" spans="1:27">
      <c r="A37" s="570">
        <f t="shared" si="3"/>
        <v>23</v>
      </c>
      <c r="B37" s="285">
        <v>45505</v>
      </c>
      <c r="C37" s="499"/>
      <c r="D37" s="409">
        <f t="shared" si="4"/>
        <v>164617178.64555651</v>
      </c>
      <c r="E37" s="409">
        <f t="shared" si="5"/>
        <v>292609.95925484697</v>
      </c>
      <c r="F37" s="409">
        <f t="shared" si="6"/>
        <v>13016523.173080929</v>
      </c>
      <c r="G37" s="500">
        <v>55215848.955556504</v>
      </c>
      <c r="H37" s="501">
        <f t="shared" si="7"/>
        <v>164617178.64555651</v>
      </c>
      <c r="I37" s="502">
        <f t="shared" si="13"/>
        <v>292609.95925484697</v>
      </c>
      <c r="J37" s="503">
        <f t="shared" si="8"/>
        <v>13016523.173080929</v>
      </c>
      <c r="K37" s="696">
        <f t="shared" si="14"/>
        <v>75495.840581677854</v>
      </c>
      <c r="L37" s="560">
        <v>0.05</v>
      </c>
      <c r="M37" s="560">
        <v>9.5000000000000001E-2</v>
      </c>
      <c r="N37" s="698"/>
      <c r="O37" s="275">
        <f t="shared" si="15"/>
        <v>3774.7920290838929</v>
      </c>
      <c r="P37" s="698"/>
      <c r="Q37" s="694">
        <f t="shared" si="16"/>
        <v>370062.56700092554</v>
      </c>
      <c r="R37" s="710"/>
      <c r="S37" s="698"/>
      <c r="T37" s="698"/>
      <c r="U37" s="698"/>
      <c r="V37" s="697"/>
      <c r="W37" s="714">
        <f t="shared" si="17"/>
        <v>707711.71524268901</v>
      </c>
      <c r="X37" s="707">
        <f t="shared" si="18"/>
        <v>292609.95925484697</v>
      </c>
      <c r="Y37" s="707">
        <f t="shared" si="19"/>
        <v>-415101.75598784204</v>
      </c>
      <c r="Z37" s="708">
        <f>+'Proj Att-H'!$D$133</f>
        <v>0.20999999999999996</v>
      </c>
      <c r="AA37" s="709">
        <f t="shared" si="20"/>
        <v>-87171.36875744682</v>
      </c>
    </row>
    <row r="38" spans="1:27">
      <c r="A38" s="570">
        <f t="shared" si="3"/>
        <v>24</v>
      </c>
      <c r="B38" s="285">
        <v>45536</v>
      </c>
      <c r="C38" s="499"/>
      <c r="D38" s="409">
        <f t="shared" si="4"/>
        <v>176644716.60745448</v>
      </c>
      <c r="E38" s="409">
        <f t="shared" si="5"/>
        <v>292744.21602468134</v>
      </c>
      <c r="F38" s="409">
        <f t="shared" si="6"/>
        <v>13309267.389105611</v>
      </c>
      <c r="G38" s="500">
        <v>67243386.917454451</v>
      </c>
      <c r="H38" s="501">
        <f t="shared" si="7"/>
        <v>176644716.60745448</v>
      </c>
      <c r="I38" s="502">
        <f t="shared" si="13"/>
        <v>292744.21602468134</v>
      </c>
      <c r="J38" s="503">
        <f t="shared" si="8"/>
        <v>13309267.389105611</v>
      </c>
      <c r="K38" s="696">
        <f t="shared" si="14"/>
        <v>12027537.961897947</v>
      </c>
      <c r="L38" s="560">
        <v>0.05</v>
      </c>
      <c r="M38" s="560">
        <v>9.5000000000000001E-2</v>
      </c>
      <c r="N38" s="698"/>
      <c r="O38" s="275">
        <f t="shared" si="15"/>
        <v>601376.89809489739</v>
      </c>
      <c r="P38" s="698"/>
      <c r="Q38" s="694">
        <f t="shared" si="16"/>
        <v>370062.56700092554</v>
      </c>
      <c r="R38" s="710"/>
      <c r="S38" s="698"/>
      <c r="T38" s="698"/>
      <c r="U38" s="698"/>
      <c r="V38" s="697"/>
      <c r="W38" s="714">
        <f t="shared" si="17"/>
        <v>707711.71524268901</v>
      </c>
      <c r="X38" s="707">
        <f t="shared" si="18"/>
        <v>292744.21602468134</v>
      </c>
      <c r="Y38" s="707">
        <f t="shared" si="19"/>
        <v>-414967.49921800767</v>
      </c>
      <c r="Z38" s="708">
        <f>+'Proj Att-H'!$D$133</f>
        <v>0.20999999999999996</v>
      </c>
      <c r="AA38" s="709">
        <f t="shared" si="20"/>
        <v>-87143.174835781596</v>
      </c>
    </row>
    <row r="39" spans="1:27">
      <c r="A39" s="570">
        <f t="shared" si="3"/>
        <v>25</v>
      </c>
      <c r="B39" s="285">
        <v>45566</v>
      </c>
      <c r="C39" s="499"/>
      <c r="D39" s="409">
        <f t="shared" si="4"/>
        <v>176743318.67400613</v>
      </c>
      <c r="E39" s="409">
        <f t="shared" si="5"/>
        <v>314133.18770025653</v>
      </c>
      <c r="F39" s="409">
        <f t="shared" si="6"/>
        <v>13623400.576805867</v>
      </c>
      <c r="G39" s="500">
        <v>67341988.984006122</v>
      </c>
      <c r="H39" s="501">
        <f t="shared" si="7"/>
        <v>176743318.67400613</v>
      </c>
      <c r="I39" s="502">
        <f t="shared" si="13"/>
        <v>314133.18770025653</v>
      </c>
      <c r="J39" s="503">
        <f t="shared" si="8"/>
        <v>13623400.576805867</v>
      </c>
      <c r="K39" s="696">
        <f t="shared" si="14"/>
        <v>98602.066551670432</v>
      </c>
      <c r="L39" s="560">
        <v>0.05</v>
      </c>
      <c r="M39" s="560">
        <v>9.5000000000000001E-2</v>
      </c>
      <c r="N39" s="698"/>
      <c r="O39" s="275">
        <f t="shared" si="15"/>
        <v>4930.1033275835216</v>
      </c>
      <c r="P39" s="698"/>
      <c r="Q39" s="694">
        <f t="shared" si="16"/>
        <v>370062.56700092554</v>
      </c>
      <c r="R39" s="710"/>
      <c r="S39" s="698"/>
      <c r="T39" s="698"/>
      <c r="U39" s="698"/>
      <c r="V39" s="697"/>
      <c r="W39" s="714">
        <f t="shared" si="17"/>
        <v>707711.71524268901</v>
      </c>
      <c r="X39" s="707">
        <f t="shared" si="18"/>
        <v>314133.18770025653</v>
      </c>
      <c r="Y39" s="707">
        <f t="shared" si="19"/>
        <v>-393578.52754243248</v>
      </c>
      <c r="Z39" s="708">
        <f>+'Proj Att-H'!$D$133</f>
        <v>0.20999999999999996</v>
      </c>
      <c r="AA39" s="709">
        <f t="shared" si="20"/>
        <v>-82651.490783910805</v>
      </c>
    </row>
    <row r="40" spans="1:27">
      <c r="A40" s="570">
        <f t="shared" si="3"/>
        <v>26</v>
      </c>
      <c r="B40" s="285">
        <v>45597</v>
      </c>
      <c r="C40" s="499"/>
      <c r="D40" s="409">
        <f t="shared" si="4"/>
        <v>176842532.9330883</v>
      </c>
      <c r="E40" s="409">
        <f t="shared" si="5"/>
        <v>314308.53504194092</v>
      </c>
      <c r="F40" s="409">
        <f t="shared" si="6"/>
        <v>13937709.111847809</v>
      </c>
      <c r="G40" s="500">
        <v>67441203.243088305</v>
      </c>
      <c r="H40" s="501">
        <f t="shared" si="7"/>
        <v>176842532.9330883</v>
      </c>
      <c r="I40" s="502">
        <f t="shared" si="13"/>
        <v>314308.53504194092</v>
      </c>
      <c r="J40" s="503">
        <f t="shared" si="8"/>
        <v>13937709.111847809</v>
      </c>
      <c r="K40" s="696">
        <f t="shared" si="14"/>
        <v>99214.259082183242</v>
      </c>
      <c r="L40" s="560">
        <v>0.05</v>
      </c>
      <c r="M40" s="560">
        <v>9.5000000000000001E-2</v>
      </c>
      <c r="N40" s="698"/>
      <c r="O40" s="275">
        <f t="shared" si="15"/>
        <v>4960.7129541091626</v>
      </c>
      <c r="P40" s="698"/>
      <c r="Q40" s="694">
        <f t="shared" si="16"/>
        <v>370062.56700092554</v>
      </c>
      <c r="R40" s="710"/>
      <c r="S40" s="698"/>
      <c r="T40" s="698"/>
      <c r="U40" s="698"/>
      <c r="V40" s="697"/>
      <c r="W40" s="714">
        <f t="shared" si="17"/>
        <v>707711.71524268901</v>
      </c>
      <c r="X40" s="707">
        <f t="shared" si="18"/>
        <v>314308.53504194092</v>
      </c>
      <c r="Y40" s="707">
        <f t="shared" si="19"/>
        <v>-393403.18020074809</v>
      </c>
      <c r="Z40" s="708">
        <f>+'Proj Att-H'!$D$133</f>
        <v>0.20999999999999996</v>
      </c>
      <c r="AA40" s="709">
        <f t="shared" si="20"/>
        <v>-82614.667842157083</v>
      </c>
    </row>
    <row r="41" spans="1:27">
      <c r="A41" s="570">
        <f t="shared" si="3"/>
        <v>27</v>
      </c>
      <c r="B41" s="285">
        <v>45627</v>
      </c>
      <c r="C41" s="499"/>
      <c r="D41" s="409">
        <f t="shared" si="4"/>
        <v>179025789.34329796</v>
      </c>
      <c r="E41" s="409">
        <f t="shared" si="5"/>
        <v>314484.97106600873</v>
      </c>
      <c r="F41" s="409">
        <f t="shared" si="6"/>
        <v>14252194.082913818</v>
      </c>
      <c r="G41" s="500">
        <v>69624459.653297961</v>
      </c>
      <c r="H41" s="501">
        <f t="shared" si="7"/>
        <v>179025789.34329796</v>
      </c>
      <c r="I41" s="502">
        <f t="shared" si="13"/>
        <v>314484.97106600873</v>
      </c>
      <c r="J41" s="503">
        <f t="shared" si="8"/>
        <v>14252194.082913818</v>
      </c>
      <c r="K41" s="696">
        <f t="shared" si="14"/>
        <v>2183256.4102096558</v>
      </c>
      <c r="L41" s="560">
        <v>0.05</v>
      </c>
      <c r="M41" s="560">
        <v>9.5000000000000001E-2</v>
      </c>
      <c r="N41" s="698"/>
      <c r="O41" s="275">
        <f t="shared" si="15"/>
        <v>109162.82051048279</v>
      </c>
      <c r="P41" s="698"/>
      <c r="Q41" s="694">
        <f t="shared" si="16"/>
        <v>370062.56700092554</v>
      </c>
      <c r="R41" s="710"/>
      <c r="S41" s="698"/>
      <c r="T41" s="698"/>
      <c r="U41" s="698"/>
      <c r="V41" s="697"/>
      <c r="W41" s="714">
        <f t="shared" si="17"/>
        <v>707711.71524268901</v>
      </c>
      <c r="X41" s="707">
        <f t="shared" si="18"/>
        <v>314484.97106600873</v>
      </c>
      <c r="Y41" s="707">
        <f t="shared" si="19"/>
        <v>-393226.74417668028</v>
      </c>
      <c r="Z41" s="708">
        <f>+'Proj Att-H'!$D$133</f>
        <v>0.20999999999999996</v>
      </c>
      <c r="AA41" s="709">
        <f t="shared" si="20"/>
        <v>-82577.616277102847</v>
      </c>
    </row>
    <row r="42" spans="1:27">
      <c r="A42" s="569" t="s">
        <v>894</v>
      </c>
      <c r="B42" s="504"/>
      <c r="C42" s="504"/>
      <c r="G42" s="505"/>
      <c r="H42" s="291"/>
      <c r="I42" s="291"/>
      <c r="J42" s="290"/>
      <c r="K42" s="699"/>
      <c r="L42" s="291"/>
      <c r="M42" s="275"/>
      <c r="N42" s="564">
        <f t="shared" ref="N42:T42" si="21">SUM(N18:N41)</f>
        <v>633963.10692918196</v>
      </c>
      <c r="O42" s="564">
        <f>SUM(O18:O41)</f>
        <v>4051789.7789011616</v>
      </c>
      <c r="P42" s="591">
        <f t="shared" si="21"/>
        <v>3080075.9531846023</v>
      </c>
      <c r="Q42" s="700">
        <f t="shared" si="21"/>
        <v>4440750.8040111065</v>
      </c>
      <c r="R42" s="711">
        <f t="shared" si="21"/>
        <v>3714039.0601137853</v>
      </c>
      <c r="S42" s="564">
        <f t="shared" si="21"/>
        <v>2480569.924122985</v>
      </c>
      <c r="T42" s="564">
        <f t="shared" si="21"/>
        <v>-1233469.1359907994</v>
      </c>
      <c r="U42" s="564"/>
      <c r="V42" s="712">
        <f>T42*'Proj Att-H'!D133</f>
        <v>-259028.51855806782</v>
      </c>
      <c r="W42" s="711">
        <f>SUM(W18:W41)</f>
        <v>8492540.58291227</v>
      </c>
      <c r="X42" s="564">
        <f>SUM(X18:X41)</f>
        <v>3125114.6403175821</v>
      </c>
      <c r="Y42" s="564">
        <f>SUM(Y18:Y41)</f>
        <v>-5367425.9425946865</v>
      </c>
      <c r="Z42" s="564"/>
      <c r="AA42" s="712">
        <f>SUM(AA18:AA41)</f>
        <v>-1127159.447944884</v>
      </c>
    </row>
    <row r="43" spans="1:27">
      <c r="A43" s="570">
        <f>A41+1</f>
        <v>28</v>
      </c>
      <c r="B43" s="292" t="s">
        <v>488</v>
      </c>
      <c r="C43" s="292"/>
      <c r="D43" s="409"/>
      <c r="E43" s="506">
        <f>SUM(E30:E41)</f>
        <v>3125114.6403175821</v>
      </c>
      <c r="F43" s="409"/>
      <c r="G43" s="351"/>
      <c r="H43" s="506"/>
      <c r="I43" s="506">
        <f>SUM(I30:I41)</f>
        <v>3125114.6403175821</v>
      </c>
      <c r="J43" s="290"/>
      <c r="K43" s="699"/>
      <c r="L43" s="291"/>
      <c r="M43" s="278"/>
      <c r="N43" s="278"/>
      <c r="O43" s="275"/>
      <c r="P43" s="275"/>
      <c r="Q43" s="694"/>
      <c r="R43" s="351"/>
      <c r="S43" s="275"/>
      <c r="T43" s="275"/>
      <c r="U43" s="275"/>
      <c r="V43" s="283"/>
      <c r="W43" s="351"/>
      <c r="X43" s="275"/>
      <c r="Y43" s="275"/>
      <c r="Z43" s="275"/>
      <c r="AA43" s="283"/>
    </row>
    <row r="44" spans="1:27">
      <c r="A44" s="570">
        <f>+A43+1</f>
        <v>29</v>
      </c>
      <c r="B44" s="292" t="s">
        <v>489</v>
      </c>
      <c r="C44" s="409"/>
      <c r="D44" s="409">
        <f>SUM(D29:D41)/13</f>
        <v>148950277.65985495</v>
      </c>
      <c r="E44" s="291"/>
      <c r="F44" s="409">
        <f>SUM(F29:F41)/13</f>
        <v>12563088.102417748</v>
      </c>
      <c r="G44" s="507"/>
      <c r="H44" s="648">
        <f>SUM(H29:H41)/13</f>
        <v>148950277.65985495</v>
      </c>
      <c r="I44" s="508"/>
      <c r="J44" s="509">
        <f>SUM(J29:J41)/13</f>
        <v>12563088.102417748</v>
      </c>
      <c r="K44" s="701"/>
      <c r="L44" s="702"/>
      <c r="M44" s="703"/>
      <c r="N44" s="703"/>
      <c r="O44" s="704"/>
      <c r="P44" s="704"/>
      <c r="Q44" s="705"/>
      <c r="R44" s="507"/>
      <c r="S44" s="704"/>
      <c r="T44" s="704"/>
      <c r="U44" s="704"/>
      <c r="V44" s="713"/>
      <c r="W44" s="507"/>
      <c r="X44" s="704"/>
      <c r="Y44" s="704"/>
      <c r="Z44" s="704"/>
      <c r="AA44" s="713"/>
    </row>
    <row r="45" spans="1:27">
      <c r="B45" s="292"/>
      <c r="D45" s="293"/>
      <c r="E45" s="293"/>
      <c r="F45" s="293"/>
      <c r="J45" s="294"/>
      <c r="K45" s="294"/>
      <c r="L45" s="294"/>
      <c r="M45" s="275"/>
      <c r="N45" s="275"/>
      <c r="Q45" s="275"/>
    </row>
    <row r="46" spans="1:27" ht="15.75" customHeight="1">
      <c r="A46" s="570"/>
    </row>
    <row r="48" spans="1:27">
      <c r="C48" s="296"/>
      <c r="G48" s="295" t="s">
        <v>205</v>
      </c>
    </row>
    <row r="49" spans="2:12" ht="66" customHeight="1">
      <c r="D49" s="572"/>
      <c r="E49" s="572"/>
      <c r="F49" s="572"/>
      <c r="G49" s="297" t="s">
        <v>79</v>
      </c>
      <c r="H49" s="820" t="s">
        <v>647</v>
      </c>
      <c r="I49" s="820"/>
      <c r="J49" s="820"/>
      <c r="K49" s="551"/>
      <c r="L49" s="551"/>
    </row>
    <row r="50" spans="2:12">
      <c r="B50" s="297"/>
    </row>
  </sheetData>
  <mergeCells count="13">
    <mergeCell ref="L10:M10"/>
    <mergeCell ref="H49:J49"/>
    <mergeCell ref="P10:Q10"/>
    <mergeCell ref="N10:O10"/>
    <mergeCell ref="S8:V8"/>
    <mergeCell ref="B6:F6"/>
    <mergeCell ref="B7:F7"/>
    <mergeCell ref="G7:J7"/>
    <mergeCell ref="AK1:AL1"/>
    <mergeCell ref="L9:M9"/>
    <mergeCell ref="P9:Q9"/>
    <mergeCell ref="W8:AA8"/>
    <mergeCell ref="AA1:AB1"/>
  </mergeCells>
  <pageMargins left="0.5" right="0.25" top="1" bottom="1" header="0.5" footer="0.5"/>
  <pageSetup scale="69" orientation="portrait" r:id="rId1"/>
  <headerFooter alignWithMargins="0"/>
  <colBreaks count="3" manualBreakCount="3">
    <brk id="10" max="48" man="1"/>
    <brk id="17" max="48" man="1"/>
    <brk id="22" max="48" man="1"/>
  </colBreaks>
  <ignoredErrors>
    <ignoredError sqref="H14 J14" unlockedFormula="1"/>
    <ignoredError sqref="I19:I28 I30:I34 V42"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pageSetUpPr autoPageBreaks="0" fitToPage="1"/>
  </sheetPr>
  <dimension ref="A1:M73"/>
  <sheetViews>
    <sheetView workbookViewId="0">
      <selection activeCell="F26" sqref="F26"/>
    </sheetView>
  </sheetViews>
  <sheetFormatPr defaultColWidth="8.77734375" defaultRowHeight="12.75"/>
  <cols>
    <col min="1" max="1" width="5.21875" style="272" customWidth="1"/>
    <col min="2" max="2" width="34.5546875" style="272" customWidth="1"/>
    <col min="3" max="3" width="29.5546875" style="272" customWidth="1"/>
    <col min="4" max="4" width="13.77734375" style="272" customWidth="1"/>
    <col min="5" max="5" width="14.77734375" style="272" customWidth="1"/>
    <col min="6" max="6" width="16.5546875" style="272" customWidth="1"/>
    <col min="7" max="7" width="3.21875" style="272" customWidth="1"/>
    <col min="8" max="8" width="13.77734375" style="272" customWidth="1"/>
    <col min="9" max="9" width="11.21875" style="272" customWidth="1"/>
    <col min="10" max="10" width="3.21875" style="272" customWidth="1"/>
    <col min="11" max="11" width="14.21875" style="272" customWidth="1"/>
    <col min="12" max="12" width="13.44140625" style="272" customWidth="1"/>
    <col min="13" max="13" width="14.44140625" style="272" bestFit="1" customWidth="1"/>
    <col min="14" max="14" width="13.21875" style="272" customWidth="1"/>
    <col min="15" max="16384" width="8.77734375" style="272"/>
  </cols>
  <sheetData>
    <row r="1" spans="1:13">
      <c r="A1" s="821" t="s">
        <v>538</v>
      </c>
      <c r="B1" s="821"/>
      <c r="C1" s="821"/>
      <c r="D1" s="821"/>
      <c r="E1" s="821"/>
      <c r="F1" s="821"/>
    </row>
    <row r="2" spans="1:13">
      <c r="A2" s="821" t="s">
        <v>559</v>
      </c>
      <c r="B2" s="821"/>
      <c r="C2" s="821"/>
      <c r="D2" s="821"/>
      <c r="E2" s="821"/>
      <c r="F2" s="821"/>
    </row>
    <row r="3" spans="1:13">
      <c r="A3" s="821" t="str">
        <f>'Act Att-H'!C7</f>
        <v>Cheyenne Light, Fuel &amp; Power</v>
      </c>
      <c r="B3" s="821"/>
      <c r="C3" s="821"/>
      <c r="D3" s="821"/>
      <c r="E3" s="821"/>
      <c r="F3" s="821"/>
    </row>
    <row r="4" spans="1:13">
      <c r="A4" s="366"/>
      <c r="B4" s="366"/>
      <c r="C4" s="366"/>
      <c r="D4" s="366"/>
      <c r="E4" s="366"/>
      <c r="F4" s="384" t="s">
        <v>673</v>
      </c>
    </row>
    <row r="5" spans="1:13" s="275" customFormat="1">
      <c r="B5" s="385"/>
      <c r="D5" s="386"/>
      <c r="E5" s="386"/>
      <c r="F5" s="386"/>
    </row>
    <row r="6" spans="1:13">
      <c r="B6" s="387" t="s">
        <v>15</v>
      </c>
      <c r="C6" s="387" t="s">
        <v>16</v>
      </c>
      <c r="D6" s="387" t="s">
        <v>17</v>
      </c>
      <c r="E6" s="388" t="s">
        <v>18</v>
      </c>
      <c r="F6" s="388" t="s">
        <v>19</v>
      </c>
    </row>
    <row r="7" spans="1:13">
      <c r="B7" s="389"/>
      <c r="C7" s="275"/>
      <c r="D7" s="348"/>
      <c r="E7" s="386" t="s">
        <v>495</v>
      </c>
      <c r="F7" s="348"/>
      <c r="G7" s="275"/>
      <c r="H7" s="275"/>
      <c r="I7" s="275"/>
      <c r="J7" s="275"/>
      <c r="K7" s="275"/>
      <c r="L7" s="275"/>
      <c r="M7" s="275"/>
    </row>
    <row r="8" spans="1:13">
      <c r="B8" s="389"/>
      <c r="C8" s="275"/>
      <c r="D8" s="390"/>
      <c r="E8" s="386" t="s">
        <v>496</v>
      </c>
      <c r="F8" s="348"/>
      <c r="G8" s="275"/>
      <c r="H8" s="275"/>
      <c r="I8" s="275"/>
      <c r="J8" s="275"/>
      <c r="K8" s="275"/>
      <c r="L8" s="275"/>
      <c r="M8" s="275"/>
    </row>
    <row r="9" spans="1:13">
      <c r="B9" s="389"/>
      <c r="C9" s="275"/>
      <c r="D9" s="390" t="s">
        <v>497</v>
      </c>
      <c r="E9" s="386" t="s">
        <v>498</v>
      </c>
      <c r="F9" s="386" t="s">
        <v>492</v>
      </c>
      <c r="G9" s="275"/>
      <c r="H9" s="275"/>
      <c r="I9" s="275"/>
      <c r="J9" s="275"/>
      <c r="K9" s="275"/>
      <c r="L9" s="275"/>
      <c r="M9" s="275"/>
    </row>
    <row r="10" spans="1:13" ht="13.5" thickBot="1">
      <c r="A10" s="391" t="s">
        <v>4</v>
      </c>
      <c r="B10" s="391" t="s">
        <v>478</v>
      </c>
      <c r="C10" s="391" t="s">
        <v>578</v>
      </c>
      <c r="D10" s="391" t="s">
        <v>499</v>
      </c>
      <c r="E10" s="392" t="s">
        <v>494</v>
      </c>
      <c r="F10" s="391" t="s">
        <v>499</v>
      </c>
      <c r="G10" s="275"/>
      <c r="H10" s="275"/>
      <c r="I10" s="275"/>
      <c r="J10" s="275"/>
      <c r="K10" s="275"/>
      <c r="L10" s="275"/>
      <c r="M10" s="275"/>
    </row>
    <row r="11" spans="1:13">
      <c r="C11" s="275"/>
      <c r="D11" s="275"/>
      <c r="E11" s="275" t="s">
        <v>500</v>
      </c>
      <c r="F11" s="298" t="s">
        <v>501</v>
      </c>
      <c r="G11" s="275"/>
      <c r="H11" s="275"/>
      <c r="I11" s="275"/>
      <c r="J11" s="275"/>
      <c r="K11" s="275"/>
      <c r="L11" s="275"/>
      <c r="M11" s="275"/>
    </row>
    <row r="12" spans="1:13">
      <c r="A12" s="393">
        <v>1</v>
      </c>
      <c r="B12" s="272" t="s">
        <v>502</v>
      </c>
      <c r="C12" s="278" t="s">
        <v>579</v>
      </c>
      <c r="D12" s="280">
        <f>'Act Att-H'!I66</f>
        <v>77050742.103740126</v>
      </c>
      <c r="E12" s="394"/>
      <c r="F12" s="294"/>
      <c r="G12" s="275"/>
      <c r="H12" s="275"/>
      <c r="I12" s="275"/>
      <c r="J12" s="275"/>
      <c r="K12" s="275"/>
      <c r="L12" s="275"/>
      <c r="M12" s="275"/>
    </row>
    <row r="13" spans="1:13">
      <c r="A13" s="395">
        <v>2</v>
      </c>
      <c r="B13" s="272" t="s">
        <v>503</v>
      </c>
      <c r="C13" s="294" t="s">
        <v>648</v>
      </c>
      <c r="D13" s="294"/>
      <c r="E13" s="294"/>
      <c r="F13" s="280">
        <f>'Proj Att-H'!I61</f>
        <v>130720166.03402425</v>
      </c>
      <c r="G13" s="275"/>
      <c r="H13" s="275"/>
    </row>
    <row r="14" spans="1:13">
      <c r="A14" s="274"/>
      <c r="C14" s="294"/>
      <c r="D14" s="294"/>
      <c r="E14" s="294"/>
      <c r="F14" s="294"/>
      <c r="H14" s="275"/>
    </row>
    <row r="15" spans="1:13">
      <c r="A15" s="274"/>
      <c r="B15" s="389" t="s">
        <v>504</v>
      </c>
      <c r="C15" s="294"/>
      <c r="D15" s="294"/>
      <c r="E15" s="396"/>
      <c r="F15" s="294"/>
      <c r="H15" s="275"/>
    </row>
    <row r="16" spans="1:13">
      <c r="A16" s="395">
        <f>A13+1</f>
        <v>3</v>
      </c>
      <c r="B16" s="294" t="s">
        <v>38</v>
      </c>
      <c r="C16" s="294" t="s">
        <v>580</v>
      </c>
      <c r="D16" s="280">
        <f>'Act Att-H'!D105</f>
        <v>23350387</v>
      </c>
      <c r="E16" s="65">
        <f>IF($D$12=0,0,D16/$D$12)</f>
        <v>0.30305207143315166</v>
      </c>
      <c r="F16" s="63">
        <f>E16*F$13</f>
        <v>39615017.094696566</v>
      </c>
      <c r="G16" s="294"/>
      <c r="H16" s="275"/>
      <c r="I16" s="282"/>
    </row>
    <row r="17" spans="1:9">
      <c r="A17" s="301">
        <f>A16+1</f>
        <v>4</v>
      </c>
      <c r="B17" s="294" t="s">
        <v>144</v>
      </c>
      <c r="C17" s="294" t="s">
        <v>581</v>
      </c>
      <c r="D17" s="280">
        <f>'Act Att-H'!D106</f>
        <v>387094</v>
      </c>
      <c r="E17" s="65">
        <f t="shared" ref="E17:E26" si="0">IF($D$12=0,0,D17/$D$12)</f>
        <v>5.0238841240337652E-3</v>
      </c>
      <c r="F17" s="63">
        <f t="shared" ref="F17:F26" si="1">E17*F$13</f>
        <v>656722.96682939224</v>
      </c>
      <c r="G17" s="294"/>
      <c r="H17" s="275"/>
      <c r="I17" s="397"/>
    </row>
    <row r="18" spans="1:9">
      <c r="A18" s="301">
        <f t="shared" ref="A18:A26" si="2">A17+1</f>
        <v>5</v>
      </c>
      <c r="B18" s="294" t="s">
        <v>39</v>
      </c>
      <c r="C18" s="294" t="s">
        <v>583</v>
      </c>
      <c r="D18" s="280">
        <f>'Act Att-H'!D107</f>
        <v>22397965</v>
      </c>
      <c r="E18" s="65">
        <f t="shared" si="0"/>
        <v>0.2906911002861422</v>
      </c>
      <c r="F18" s="63">
        <f t="shared" si="1"/>
        <v>37999188.894017704</v>
      </c>
      <c r="G18" s="294"/>
      <c r="H18" s="275"/>
      <c r="I18" s="397"/>
    </row>
    <row r="19" spans="1:9">
      <c r="A19" s="301">
        <f t="shared" si="2"/>
        <v>6</v>
      </c>
      <c r="B19" s="294" t="s">
        <v>40</v>
      </c>
      <c r="C19" s="294" t="s">
        <v>582</v>
      </c>
      <c r="D19" s="280">
        <f>'Act Att-H'!D108</f>
        <v>16571858</v>
      </c>
      <c r="E19" s="65">
        <f t="shared" si="0"/>
        <v>0.21507720169246214</v>
      </c>
      <c r="F19" s="63">
        <f t="shared" si="1"/>
        <v>28114927.515371975</v>
      </c>
      <c r="G19" s="294"/>
      <c r="H19" s="275"/>
      <c r="I19" s="397"/>
    </row>
    <row r="20" spans="1:9">
      <c r="A20" s="301">
        <f t="shared" si="2"/>
        <v>7</v>
      </c>
      <c r="B20" s="71" t="s">
        <v>1217</v>
      </c>
      <c r="C20" s="294"/>
      <c r="D20" s="294"/>
      <c r="E20" s="294"/>
      <c r="F20" s="294"/>
      <c r="G20" s="294"/>
      <c r="H20" s="275"/>
      <c r="I20" s="397"/>
    </row>
    <row r="21" spans="1:9">
      <c r="A21" s="301">
        <f t="shared" si="2"/>
        <v>8</v>
      </c>
      <c r="B21" s="294" t="s">
        <v>575</v>
      </c>
      <c r="C21" s="294" t="s">
        <v>584</v>
      </c>
      <c r="D21" s="280">
        <f>'Act Att-H'!D110</f>
        <v>912490.44</v>
      </c>
      <c r="E21" s="65">
        <f t="shared" si="0"/>
        <v>1.1842720979525862E-2</v>
      </c>
      <c r="F21" s="63">
        <f t="shared" si="1"/>
        <v>1548082.4527382432</v>
      </c>
      <c r="H21" s="275"/>
      <c r="I21" s="397"/>
    </row>
    <row r="22" spans="1:9">
      <c r="A22" s="301">
        <f t="shared" si="2"/>
        <v>9</v>
      </c>
      <c r="B22" s="294" t="s">
        <v>576</v>
      </c>
      <c r="C22" s="294" t="s">
        <v>588</v>
      </c>
      <c r="D22" s="280">
        <f>'Act Att-H'!D111</f>
        <v>0</v>
      </c>
      <c r="E22" s="65">
        <f t="shared" si="0"/>
        <v>0</v>
      </c>
      <c r="F22" s="63">
        <f t="shared" si="1"/>
        <v>0</v>
      </c>
      <c r="H22" s="275"/>
      <c r="I22" s="397"/>
    </row>
    <row r="23" spans="1:9">
      <c r="A23" s="301">
        <f t="shared" si="2"/>
        <v>10</v>
      </c>
      <c r="B23" s="294" t="s">
        <v>930</v>
      </c>
      <c r="C23" s="294" t="s">
        <v>589</v>
      </c>
      <c r="D23" s="280">
        <f>'Act Att-H'!D112</f>
        <v>510002.8064</v>
      </c>
      <c r="E23" s="398"/>
      <c r="F23" s="280">
        <f>D23</f>
        <v>510002.8064</v>
      </c>
      <c r="H23" s="275"/>
      <c r="I23" s="397"/>
    </row>
    <row r="24" spans="1:9">
      <c r="A24" s="301">
        <f t="shared" si="2"/>
        <v>11</v>
      </c>
      <c r="B24" s="294" t="s">
        <v>931</v>
      </c>
      <c r="C24" s="294" t="s">
        <v>590</v>
      </c>
      <c r="D24" s="280">
        <f>'Act Att-H'!D113</f>
        <v>452052.88319999998</v>
      </c>
      <c r="E24" s="65">
        <f t="shared" si="0"/>
        <v>5.8669504129027312E-3</v>
      </c>
      <c r="F24" s="63">
        <f t="shared" si="1"/>
        <v>766928.73208803218</v>
      </c>
      <c r="H24" s="275"/>
      <c r="I24" s="397"/>
    </row>
    <row r="25" spans="1:9">
      <c r="A25" s="301">
        <f t="shared" si="2"/>
        <v>12</v>
      </c>
      <c r="B25" s="294" t="s">
        <v>32</v>
      </c>
      <c r="C25" s="294" t="s">
        <v>585</v>
      </c>
      <c r="D25" s="280">
        <f>'Act Att-H'!D114</f>
        <v>0</v>
      </c>
      <c r="E25" s="65">
        <f t="shared" si="0"/>
        <v>0</v>
      </c>
      <c r="F25" s="63">
        <f t="shared" si="1"/>
        <v>0</v>
      </c>
      <c r="G25" s="294"/>
      <c r="H25" s="275"/>
      <c r="I25" s="399"/>
    </row>
    <row r="26" spans="1:9" ht="13.5" thickBot="1">
      <c r="A26" s="301">
        <f t="shared" si="2"/>
        <v>13</v>
      </c>
      <c r="B26" s="294" t="s">
        <v>41</v>
      </c>
      <c r="C26" s="294" t="s">
        <v>586</v>
      </c>
      <c r="D26" s="280">
        <f>'Act Att-H'!D115</f>
        <v>0</v>
      </c>
      <c r="E26" s="65">
        <f t="shared" si="0"/>
        <v>0</v>
      </c>
      <c r="F26" s="63">
        <f t="shared" si="1"/>
        <v>0</v>
      </c>
      <c r="G26" s="294"/>
      <c r="H26" s="275"/>
      <c r="I26" s="282"/>
    </row>
    <row r="27" spans="1:9">
      <c r="A27" s="301">
        <f>A26+1</f>
        <v>14</v>
      </c>
      <c r="B27" s="400" t="s">
        <v>577</v>
      </c>
      <c r="C27" s="400" t="s">
        <v>1220</v>
      </c>
      <c r="D27" s="72">
        <f>+D16-D17-D18+D19-D21+D25+D26+D22+D23-D24</f>
        <v>16282645.483200001</v>
      </c>
      <c r="E27" s="72"/>
      <c r="F27" s="72">
        <f>+F16-F17-F18+F19-F21+F25+F26+F22+F23-F24</f>
        <v>27269024.370795172</v>
      </c>
      <c r="H27" s="275"/>
    </row>
    <row r="28" spans="1:9">
      <c r="A28" s="274"/>
      <c r="C28" s="294"/>
      <c r="D28" s="294"/>
      <c r="E28" s="294"/>
      <c r="F28" s="294"/>
      <c r="H28" s="275"/>
    </row>
    <row r="29" spans="1:9">
      <c r="A29" s="274"/>
      <c r="C29" s="294"/>
      <c r="D29" s="294"/>
      <c r="E29" s="294"/>
      <c r="F29" s="294"/>
      <c r="H29" s="275"/>
    </row>
    <row r="30" spans="1:9">
      <c r="A30" s="274"/>
      <c r="B30" s="389" t="s">
        <v>505</v>
      </c>
      <c r="C30" s="294"/>
      <c r="D30" s="294"/>
      <c r="E30" s="294"/>
      <c r="F30" s="294"/>
      <c r="H30" s="275"/>
    </row>
    <row r="31" spans="1:9">
      <c r="A31" s="274"/>
      <c r="B31" s="274" t="s">
        <v>42</v>
      </c>
      <c r="C31" s="296"/>
      <c r="D31" s="294"/>
      <c r="E31" s="294"/>
      <c r="F31" s="294"/>
      <c r="H31" s="275"/>
    </row>
    <row r="32" spans="1:9">
      <c r="A32" s="395">
        <f>A27+1</f>
        <v>15</v>
      </c>
      <c r="B32" s="274" t="s">
        <v>43</v>
      </c>
      <c r="C32" s="294" t="s">
        <v>591</v>
      </c>
      <c r="D32" s="280">
        <f>'Act Att-H'!D127</f>
        <v>875001</v>
      </c>
      <c r="E32" s="65">
        <f t="shared" ref="E32:E38" si="3">IF($D$12=0,0,D32/$D$12)</f>
        <v>1.1356165769589992E-2</v>
      </c>
      <c r="F32" s="63">
        <f t="shared" ref="F32:F38" si="4">E32*F$13</f>
        <v>1484479.8749107067</v>
      </c>
      <c r="H32" s="275"/>
    </row>
    <row r="33" spans="1:9">
      <c r="A33" s="395">
        <f>A32+1</f>
        <v>16</v>
      </c>
      <c r="B33" s="274" t="s">
        <v>44</v>
      </c>
      <c r="C33" s="294" t="s">
        <v>592</v>
      </c>
      <c r="D33" s="280">
        <f>'Act Att-H'!D128</f>
        <v>0</v>
      </c>
      <c r="E33" s="65">
        <f t="shared" si="3"/>
        <v>0</v>
      </c>
      <c r="F33" s="63">
        <f t="shared" si="4"/>
        <v>0</v>
      </c>
      <c r="H33" s="275"/>
    </row>
    <row r="34" spans="1:9">
      <c r="A34" s="395">
        <f t="shared" ref="A34:A39" si="5">A33+1</f>
        <v>17</v>
      </c>
      <c r="B34" s="274" t="s">
        <v>45</v>
      </c>
      <c r="C34" s="294"/>
      <c r="D34" s="403"/>
      <c r="E34" s="65"/>
      <c r="F34" s="63"/>
      <c r="H34" s="275"/>
    </row>
    <row r="35" spans="1:9">
      <c r="A35" s="395">
        <f t="shared" si="5"/>
        <v>18</v>
      </c>
      <c r="B35" s="746" t="s">
        <v>46</v>
      </c>
      <c r="C35" s="294" t="s">
        <v>593</v>
      </c>
      <c r="D35" s="280">
        <f>'Act Att-H'!D130</f>
        <v>2884298.3599999994</v>
      </c>
      <c r="E35" s="65">
        <f t="shared" si="3"/>
        <v>3.7433751852988223E-2</v>
      </c>
      <c r="F35" s="63">
        <f t="shared" si="4"/>
        <v>4893346.2574990839</v>
      </c>
      <c r="H35" s="275"/>
    </row>
    <row r="36" spans="1:9">
      <c r="A36" s="395">
        <f t="shared" si="5"/>
        <v>19</v>
      </c>
      <c r="B36" s="274" t="s">
        <v>47</v>
      </c>
      <c r="C36" s="294" t="s">
        <v>594</v>
      </c>
      <c r="D36" s="280">
        <f>'Act Att-H'!D131</f>
        <v>1950348.4399999997</v>
      </c>
      <c r="E36" s="65">
        <f t="shared" si="3"/>
        <v>2.5312519863521569E-2</v>
      </c>
      <c r="F36" s="63">
        <f t="shared" si="4"/>
        <v>3308856.7992990762</v>
      </c>
      <c r="H36" s="275"/>
    </row>
    <row r="37" spans="1:9">
      <c r="A37" s="395">
        <f t="shared" si="5"/>
        <v>20</v>
      </c>
      <c r="B37" s="274" t="s">
        <v>48</v>
      </c>
      <c r="C37" s="294" t="s">
        <v>595</v>
      </c>
      <c r="D37" s="280">
        <f>'Act Att-H'!D132</f>
        <v>0</v>
      </c>
      <c r="E37" s="65">
        <f t="shared" si="3"/>
        <v>0</v>
      </c>
      <c r="F37" s="63">
        <f t="shared" si="4"/>
        <v>0</v>
      </c>
      <c r="H37" s="275"/>
    </row>
    <row r="38" spans="1:9">
      <c r="A38" s="395">
        <f t="shared" si="5"/>
        <v>21</v>
      </c>
      <c r="B38" s="274" t="s">
        <v>574</v>
      </c>
      <c r="C38" s="294" t="s">
        <v>596</v>
      </c>
      <c r="D38" s="280">
        <f>'Act Att-H'!D133</f>
        <v>0</v>
      </c>
      <c r="E38" s="65">
        <f t="shared" si="3"/>
        <v>0</v>
      </c>
      <c r="F38" s="63">
        <f t="shared" si="4"/>
        <v>0</v>
      </c>
      <c r="H38" s="275"/>
    </row>
    <row r="39" spans="1:9">
      <c r="A39" s="395">
        <f t="shared" si="5"/>
        <v>22</v>
      </c>
      <c r="B39" s="404" t="s">
        <v>506</v>
      </c>
      <c r="C39" s="405" t="s">
        <v>597</v>
      </c>
      <c r="D39" s="406">
        <f>'Act Att-H'!D134</f>
        <v>5709647.7999999989</v>
      </c>
      <c r="E39" s="402"/>
      <c r="F39" s="401">
        <f>SUM(F32:F38)</f>
        <v>9686682.9317088667</v>
      </c>
      <c r="H39" s="275"/>
    </row>
    <row r="40" spans="1:9">
      <c r="A40" s="274"/>
      <c r="D40" s="407"/>
      <c r="E40" s="294"/>
      <c r="F40" s="407"/>
      <c r="H40" s="275"/>
    </row>
    <row r="41" spans="1:9">
      <c r="C41" s="408"/>
      <c r="D41" s="408"/>
      <c r="E41" s="408"/>
      <c r="F41" s="408"/>
      <c r="I41" s="409"/>
    </row>
    <row r="42" spans="1:9">
      <c r="C42" s="408"/>
      <c r="D42" s="408"/>
      <c r="E42" s="408"/>
      <c r="F42" s="408"/>
      <c r="I42" s="409"/>
    </row>
    <row r="43" spans="1:9">
      <c r="C43" s="408"/>
      <c r="D43" s="408"/>
      <c r="E43" s="408"/>
      <c r="F43" s="408"/>
      <c r="I43" s="409"/>
    </row>
    <row r="44" spans="1:9">
      <c r="C44" s="408"/>
      <c r="D44" s="408"/>
      <c r="E44" s="408"/>
      <c r="F44" s="408"/>
      <c r="I44" s="409"/>
    </row>
    <row r="45" spans="1:9">
      <c r="C45" s="408"/>
      <c r="D45" s="408"/>
      <c r="E45" s="408"/>
      <c r="F45" s="408"/>
      <c r="I45" s="409"/>
    </row>
    <row r="46" spans="1:9">
      <c r="C46" s="408"/>
      <c r="D46" s="408"/>
      <c r="E46" s="408"/>
      <c r="F46" s="408"/>
      <c r="I46" s="409"/>
    </row>
    <row r="47" spans="1:9">
      <c r="C47" s="408"/>
      <c r="D47" s="408"/>
      <c r="E47" s="408"/>
      <c r="F47" s="408"/>
      <c r="I47" s="409"/>
    </row>
    <row r="48" spans="1:9">
      <c r="C48" s="408"/>
      <c r="D48" s="408"/>
      <c r="E48" s="408"/>
      <c r="F48" s="408"/>
      <c r="I48" s="409"/>
    </row>
    <row r="49" spans="1:8">
      <c r="A49" s="276"/>
      <c r="B49" s="410"/>
      <c r="C49" s="278"/>
      <c r="D49" s="411"/>
      <c r="E49" s="412"/>
      <c r="F49" s="413"/>
      <c r="G49" s="278"/>
      <c r="H49" s="414"/>
    </row>
    <row r="50" spans="1:8">
      <c r="A50" s="276"/>
      <c r="B50" s="278"/>
      <c r="C50" s="278"/>
      <c r="D50" s="278"/>
      <c r="E50" s="278"/>
      <c r="F50" s="278"/>
      <c r="G50" s="278"/>
      <c r="H50" s="278"/>
    </row>
    <row r="51" spans="1:8">
      <c r="A51" s="276"/>
      <c r="B51" s="410"/>
      <c r="C51" s="278"/>
      <c r="D51" s="399"/>
      <c r="E51" s="412"/>
      <c r="F51" s="413"/>
      <c r="G51" s="278"/>
      <c r="H51" s="414"/>
    </row>
    <row r="52" spans="1:8">
      <c r="A52" s="276"/>
      <c r="B52" s="410"/>
      <c r="C52" s="278"/>
      <c r="D52" s="399"/>
      <c r="E52" s="278"/>
      <c r="F52" s="415"/>
      <c r="G52" s="278"/>
      <c r="H52" s="414"/>
    </row>
    <row r="53" spans="1:8">
      <c r="A53" s="275"/>
      <c r="B53" s="410"/>
      <c r="C53" s="278"/>
      <c r="D53" s="399"/>
      <c r="E53" s="278"/>
      <c r="F53" s="415"/>
      <c r="G53" s="278"/>
      <c r="H53" s="414"/>
    </row>
    <row r="54" spans="1:8">
      <c r="B54" s="410"/>
      <c r="C54" s="278"/>
      <c r="D54" s="399"/>
      <c r="E54" s="278"/>
      <c r="F54" s="415"/>
      <c r="G54" s="278"/>
      <c r="H54" s="414"/>
    </row>
    <row r="55" spans="1:8">
      <c r="B55" s="410"/>
      <c r="C55" s="278"/>
      <c r="D55" s="399"/>
      <c r="E55" s="278"/>
      <c r="F55" s="415"/>
      <c r="G55" s="278"/>
      <c r="H55" s="414"/>
    </row>
    <row r="56" spans="1:8">
      <c r="B56" s="410"/>
      <c r="C56" s="278"/>
      <c r="D56" s="414"/>
      <c r="E56" s="278"/>
      <c r="F56" s="415"/>
      <c r="G56" s="278"/>
      <c r="H56" s="414"/>
    </row>
    <row r="57" spans="1:8">
      <c r="B57" s="410"/>
      <c r="C57" s="278"/>
      <c r="D57" s="399"/>
      <c r="E57" s="278"/>
      <c r="F57" s="415"/>
      <c r="G57" s="278"/>
      <c r="H57" s="414"/>
    </row>
    <row r="58" spans="1:8">
      <c r="B58" s="410"/>
      <c r="C58" s="278"/>
      <c r="D58" s="399"/>
      <c r="E58" s="278"/>
      <c r="F58" s="415"/>
      <c r="G58" s="278"/>
      <c r="H58" s="414"/>
    </row>
    <row r="59" spans="1:8">
      <c r="B59" s="410"/>
      <c r="C59" s="278"/>
      <c r="D59" s="399"/>
      <c r="E59" s="278"/>
      <c r="F59" s="415"/>
      <c r="G59" s="278"/>
      <c r="H59" s="414"/>
    </row>
    <row r="60" spans="1:8">
      <c r="B60" s="410"/>
      <c r="C60" s="278"/>
      <c r="D60" s="399"/>
      <c r="E60" s="278"/>
      <c r="F60" s="415"/>
      <c r="G60" s="278"/>
      <c r="H60" s="414"/>
    </row>
    <row r="61" spans="1:8">
      <c r="B61" s="410"/>
      <c r="C61" s="278"/>
      <c r="D61" s="414"/>
      <c r="E61" s="278"/>
      <c r="F61" s="415"/>
      <c r="G61" s="278"/>
      <c r="H61" s="414"/>
    </row>
    <row r="62" spans="1:8">
      <c r="B62" s="410"/>
      <c r="C62" s="278"/>
      <c r="D62" s="416"/>
      <c r="E62" s="278"/>
      <c r="F62" s="415"/>
      <c r="G62" s="278"/>
      <c r="H62" s="414"/>
    </row>
    <row r="63" spans="1:8">
      <c r="B63" s="417"/>
      <c r="C63" s="278"/>
      <c r="D63" s="399"/>
      <c r="E63" s="278"/>
      <c r="F63" s="415"/>
      <c r="G63" s="278"/>
      <c r="H63" s="414"/>
    </row>
    <row r="64" spans="1:8">
      <c r="B64" s="417"/>
      <c r="C64" s="278"/>
      <c r="D64" s="416"/>
      <c r="E64" s="278"/>
      <c r="F64" s="415"/>
      <c r="G64" s="278"/>
      <c r="H64" s="414"/>
    </row>
    <row r="65" spans="2:8">
      <c r="B65" s="417"/>
      <c r="C65" s="278"/>
      <c r="D65" s="416"/>
      <c r="E65" s="278"/>
      <c r="F65" s="415"/>
      <c r="G65" s="278"/>
      <c r="H65" s="414"/>
    </row>
    <row r="66" spans="2:8">
      <c r="B66" s="417"/>
      <c r="C66" s="278"/>
      <c r="D66" s="399"/>
      <c r="E66" s="278"/>
      <c r="F66" s="415"/>
      <c r="G66" s="278"/>
      <c r="H66" s="414"/>
    </row>
    <row r="67" spans="2:8">
      <c r="B67" s="410"/>
      <c r="C67" s="278"/>
      <c r="D67" s="278"/>
      <c r="E67" s="278"/>
      <c r="F67" s="415"/>
      <c r="G67" s="278"/>
      <c r="H67" s="414"/>
    </row>
    <row r="68" spans="2:8">
      <c r="B68" s="410"/>
      <c r="C68" s="278"/>
      <c r="D68" s="278"/>
      <c r="E68" s="278"/>
      <c r="F68" s="278"/>
      <c r="G68" s="278"/>
      <c r="H68" s="414"/>
    </row>
    <row r="69" spans="2:8">
      <c r="B69" s="410"/>
      <c r="C69" s="278"/>
      <c r="D69" s="278"/>
      <c r="E69" s="278"/>
      <c r="F69" s="278"/>
      <c r="G69" s="278"/>
      <c r="H69" s="414"/>
    </row>
    <row r="70" spans="2:8">
      <c r="B70" s="410"/>
      <c r="C70" s="278"/>
      <c r="D70" s="278"/>
      <c r="E70" s="278"/>
      <c r="F70" s="278"/>
      <c r="G70" s="278"/>
      <c r="H70" s="414"/>
    </row>
    <row r="71" spans="2:8">
      <c r="B71" s="410"/>
      <c r="C71" s="278"/>
      <c r="D71" s="278"/>
      <c r="E71" s="278"/>
      <c r="F71" s="278"/>
      <c r="G71" s="278"/>
      <c r="H71" s="414"/>
    </row>
    <row r="72" spans="2:8">
      <c r="B72" s="417"/>
      <c r="C72" s="278"/>
      <c r="D72" s="414"/>
      <c r="E72" s="278"/>
      <c r="F72" s="415"/>
      <c r="G72" s="278"/>
      <c r="H72" s="414"/>
    </row>
    <row r="73" spans="2:8">
      <c r="B73" s="417"/>
      <c r="C73" s="278"/>
      <c r="D73" s="414"/>
      <c r="E73" s="278"/>
      <c r="F73" s="278"/>
      <c r="G73" s="278"/>
      <c r="H73" s="414"/>
    </row>
  </sheetData>
  <mergeCells count="3">
    <mergeCell ref="A1:F1"/>
    <mergeCell ref="A2:F2"/>
    <mergeCell ref="A3:F3"/>
  </mergeCells>
  <printOptions horizontalCentered="1"/>
  <pageMargins left="0.5" right="0.25" top="1" bottom="1" header="0.5" footer="0.5"/>
  <pageSetup scale="72" orientation="portrait" r:id="rId1"/>
  <headerFooter alignWithMargins="0"/>
  <ignoredErrors>
    <ignoredError sqref="B6:F6" numberStoredAsText="1"/>
    <ignoredError sqref="F13:F19 D12:D19 D32:D39 D21:D26 F21:F23"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pageSetUpPr fitToPage="1"/>
  </sheetPr>
  <dimension ref="A1:O35"/>
  <sheetViews>
    <sheetView workbookViewId="0">
      <selection sqref="A1:G1"/>
    </sheetView>
  </sheetViews>
  <sheetFormatPr defaultColWidth="8.77734375" defaultRowHeight="12.75"/>
  <cols>
    <col min="1" max="1" width="5.21875" style="272" customWidth="1"/>
    <col min="2" max="2" width="15.109375" style="272" customWidth="1"/>
    <col min="3" max="3" width="19.109375" style="272" bestFit="1" customWidth="1"/>
    <col min="4" max="4" width="17.109375" style="272" customWidth="1"/>
    <col min="5" max="5" width="17.44140625" style="272" customWidth="1"/>
    <col min="6" max="6" width="13.77734375" style="272" customWidth="1"/>
    <col min="7" max="7" width="12.5546875" style="272" customWidth="1"/>
    <col min="8" max="8" width="7" style="272" customWidth="1"/>
    <col min="9" max="9" width="7.77734375" style="272" bestFit="1" customWidth="1"/>
    <col min="10" max="10" width="2.21875" style="272" customWidth="1"/>
    <col min="11" max="11" width="6.77734375" style="272" customWidth="1"/>
    <col min="12" max="16384" width="8.77734375" style="272"/>
  </cols>
  <sheetData>
    <row r="1" spans="1:14">
      <c r="A1" s="821" t="s">
        <v>560</v>
      </c>
      <c r="B1" s="821"/>
      <c r="C1" s="821"/>
      <c r="D1" s="821"/>
      <c r="E1" s="821"/>
      <c r="F1" s="821"/>
      <c r="G1" s="821"/>
    </row>
    <row r="2" spans="1:14">
      <c r="A2" s="821" t="s">
        <v>711</v>
      </c>
      <c r="B2" s="821"/>
      <c r="C2" s="821"/>
      <c r="D2" s="821"/>
      <c r="E2" s="821"/>
      <c r="F2" s="821"/>
      <c r="G2" s="821"/>
    </row>
    <row r="3" spans="1:14">
      <c r="A3" s="821" t="str">
        <f>'P1-Trans Plant'!B3</f>
        <v>Cheyenne Light, Fuel &amp; Power</v>
      </c>
      <c r="B3" s="821"/>
      <c r="C3" s="821"/>
      <c r="D3" s="821"/>
      <c r="E3" s="821"/>
      <c r="F3" s="821"/>
      <c r="G3" s="821"/>
    </row>
    <row r="4" spans="1:14">
      <c r="A4" s="294"/>
      <c r="B4" s="294"/>
      <c r="C4" s="294"/>
      <c r="D4" s="294"/>
      <c r="E4" s="294"/>
      <c r="F4" s="294"/>
      <c r="G4" s="384" t="s">
        <v>673</v>
      </c>
    </row>
    <row r="5" spans="1:14">
      <c r="A5" s="299" t="s">
        <v>507</v>
      </c>
      <c r="B5" s="294"/>
      <c r="C5" s="294"/>
      <c r="D5" s="294"/>
      <c r="E5" s="294"/>
      <c r="F5" s="294"/>
      <c r="G5" s="294"/>
    </row>
    <row r="6" spans="1:14">
      <c r="A6" s="300"/>
      <c r="B6" s="294"/>
      <c r="C6" s="294"/>
      <c r="D6" s="294"/>
      <c r="E6" s="294"/>
      <c r="F6" s="294"/>
      <c r="G6" s="294"/>
    </row>
    <row r="7" spans="1:14" ht="15" customHeight="1">
      <c r="A7" s="301">
        <v>1</v>
      </c>
      <c r="B7" s="294" t="s">
        <v>508</v>
      </c>
      <c r="C7" s="294"/>
      <c r="D7" s="294"/>
      <c r="E7" s="294"/>
      <c r="F7" s="294"/>
      <c r="G7" s="294"/>
      <c r="I7" s="510"/>
      <c r="J7" s="294"/>
      <c r="K7" s="510"/>
      <c r="L7" s="294"/>
      <c r="M7" s="511"/>
      <c r="N7" s="294"/>
    </row>
    <row r="8" spans="1:14">
      <c r="A8" s="294"/>
      <c r="B8" s="294"/>
      <c r="C8" s="294"/>
      <c r="D8" s="294"/>
      <c r="E8" s="294"/>
      <c r="F8" s="294"/>
      <c r="G8" s="294"/>
    </row>
    <row r="9" spans="1:14">
      <c r="A9" s="294"/>
      <c r="B9" s="512" t="s">
        <v>509</v>
      </c>
      <c r="C9" s="513" t="s">
        <v>510</v>
      </c>
      <c r="D9" s="512" t="s">
        <v>511</v>
      </c>
      <c r="E9" s="512" t="s">
        <v>512</v>
      </c>
      <c r="F9" s="512" t="s">
        <v>513</v>
      </c>
      <c r="G9" s="512" t="s">
        <v>514</v>
      </c>
    </row>
    <row r="10" spans="1:14" ht="92.25" customHeight="1">
      <c r="A10" s="294"/>
      <c r="B10" s="302" t="s">
        <v>268</v>
      </c>
      <c r="C10" s="302" t="s">
        <v>567</v>
      </c>
      <c r="D10" s="303" t="s">
        <v>565</v>
      </c>
      <c r="E10" s="303" t="s">
        <v>564</v>
      </c>
      <c r="F10" s="302" t="s">
        <v>566</v>
      </c>
      <c r="G10" s="302" t="s">
        <v>515</v>
      </c>
    </row>
    <row r="11" spans="1:14">
      <c r="A11" s="301">
        <v>2</v>
      </c>
      <c r="B11" s="514" t="s">
        <v>165</v>
      </c>
      <c r="C11" s="515"/>
      <c r="D11" s="515"/>
      <c r="E11" s="516"/>
      <c r="F11" s="517">
        <v>272000</v>
      </c>
      <c r="G11" s="518">
        <f t="shared" ref="G11:G18" si="0">F11</f>
        <v>272000</v>
      </c>
      <c r="I11" s="519"/>
    </row>
    <row r="12" spans="1:14">
      <c r="A12" s="301">
        <v>3</v>
      </c>
      <c r="B12" s="514" t="s">
        <v>166</v>
      </c>
      <c r="C12" s="520"/>
      <c r="D12" s="520"/>
      <c r="E12" s="521"/>
      <c r="F12" s="517">
        <v>275000</v>
      </c>
      <c r="G12" s="518">
        <f t="shared" si="0"/>
        <v>275000</v>
      </c>
    </row>
    <row r="13" spans="1:14">
      <c r="A13" s="301">
        <v>4</v>
      </c>
      <c r="B13" s="514" t="s">
        <v>516</v>
      </c>
      <c r="C13" s="520"/>
      <c r="D13" s="520"/>
      <c r="E13" s="521"/>
      <c r="F13" s="517">
        <v>259000</v>
      </c>
      <c r="G13" s="518">
        <f t="shared" si="0"/>
        <v>259000</v>
      </c>
    </row>
    <row r="14" spans="1:14">
      <c r="A14" s="301">
        <v>5</v>
      </c>
      <c r="B14" s="514" t="s">
        <v>167</v>
      </c>
      <c r="C14" s="520"/>
      <c r="D14" s="520"/>
      <c r="E14" s="521"/>
      <c r="F14" s="517">
        <v>267000</v>
      </c>
      <c r="G14" s="518">
        <f t="shared" si="0"/>
        <v>267000</v>
      </c>
    </row>
    <row r="15" spans="1:14">
      <c r="A15" s="301">
        <v>6</v>
      </c>
      <c r="B15" s="514" t="s">
        <v>168</v>
      </c>
      <c r="C15" s="520"/>
      <c r="D15" s="520"/>
      <c r="E15" s="521"/>
      <c r="F15" s="517">
        <v>267000</v>
      </c>
      <c r="G15" s="518">
        <f t="shared" si="0"/>
        <v>267000</v>
      </c>
    </row>
    <row r="16" spans="1:14">
      <c r="A16" s="301">
        <v>7</v>
      </c>
      <c r="B16" s="514" t="s">
        <v>169</v>
      </c>
      <c r="C16" s="520"/>
      <c r="D16" s="520"/>
      <c r="E16" s="521"/>
      <c r="F16" s="517">
        <v>289000</v>
      </c>
      <c r="G16" s="518">
        <f t="shared" si="0"/>
        <v>289000</v>
      </c>
    </row>
    <row r="17" spans="1:15">
      <c r="A17" s="301">
        <v>8</v>
      </c>
      <c r="B17" s="514" t="s">
        <v>170</v>
      </c>
      <c r="C17" s="520"/>
      <c r="D17" s="520"/>
      <c r="E17" s="521"/>
      <c r="F17" s="517">
        <v>312000</v>
      </c>
      <c r="G17" s="518">
        <f t="shared" si="0"/>
        <v>312000</v>
      </c>
    </row>
    <row r="18" spans="1:15">
      <c r="A18" s="301">
        <v>9</v>
      </c>
      <c r="B18" s="514" t="s">
        <v>517</v>
      </c>
      <c r="C18" s="522"/>
      <c r="D18" s="522"/>
      <c r="E18" s="523"/>
      <c r="F18" s="517">
        <v>311000</v>
      </c>
      <c r="G18" s="518">
        <f t="shared" si="0"/>
        <v>311000</v>
      </c>
      <c r="I18" s="524"/>
    </row>
    <row r="19" spans="1:15">
      <c r="A19" s="301">
        <v>10</v>
      </c>
      <c r="B19" s="525" t="s">
        <v>171</v>
      </c>
      <c r="C19" s="526">
        <f>'A6-Divisor'!G16</f>
        <v>1.1021555763823805</v>
      </c>
      <c r="D19" s="527">
        <f>AVERAGE($F$11:$F$18)</f>
        <v>281500</v>
      </c>
      <c r="E19" s="528">
        <f>C19*D19</f>
        <v>310256.79475164012</v>
      </c>
      <c r="F19" s="516"/>
      <c r="G19" s="529">
        <f>E19</f>
        <v>310256.79475164012</v>
      </c>
    </row>
    <row r="20" spans="1:15">
      <c r="A20" s="301">
        <v>11</v>
      </c>
      <c r="B20" s="525" t="s">
        <v>172</v>
      </c>
      <c r="C20" s="526">
        <f>'A6-Divisor'!G17</f>
        <v>0.90346766635426434</v>
      </c>
      <c r="D20" s="527">
        <f>AVERAGE($F$11:$F$18)</f>
        <v>281500</v>
      </c>
      <c r="E20" s="528">
        <f>C20*D20</f>
        <v>254326.14807872541</v>
      </c>
      <c r="F20" s="521"/>
      <c r="G20" s="529">
        <f>E20</f>
        <v>254326.14807872541</v>
      </c>
    </row>
    <row r="21" spans="1:15">
      <c r="A21" s="301">
        <v>12</v>
      </c>
      <c r="B21" s="525" t="s">
        <v>173</v>
      </c>
      <c r="C21" s="526">
        <f>'A6-Divisor'!G18</f>
        <v>0.98594189315838798</v>
      </c>
      <c r="D21" s="527">
        <f>AVERAGE($F$11:$F$18)</f>
        <v>281500</v>
      </c>
      <c r="E21" s="528">
        <f>C21*D21</f>
        <v>277542.64292408619</v>
      </c>
      <c r="F21" s="521"/>
      <c r="G21" s="529">
        <f>E21</f>
        <v>277542.64292408619</v>
      </c>
    </row>
    <row r="22" spans="1:15">
      <c r="A22" s="301">
        <v>13</v>
      </c>
      <c r="B22" s="525" t="s">
        <v>518</v>
      </c>
      <c r="C22" s="526">
        <f>'A6-Divisor'!G19</f>
        <v>1.0534208059981256</v>
      </c>
      <c r="D22" s="527">
        <f>AVERAGE($F$11:$F$18)</f>
        <v>281500</v>
      </c>
      <c r="E22" s="528">
        <f>C22*D22</f>
        <v>296537.95688847237</v>
      </c>
      <c r="F22" s="521"/>
      <c r="G22" s="529">
        <f>E22</f>
        <v>296537.95688847237</v>
      </c>
    </row>
    <row r="23" spans="1:15">
      <c r="A23" s="301">
        <v>14</v>
      </c>
      <c r="B23" s="530" t="s">
        <v>9</v>
      </c>
      <c r="C23" s="531"/>
      <c r="D23" s="532"/>
      <c r="E23" s="532"/>
      <c r="F23" s="531"/>
      <c r="G23" s="533">
        <f>SUM(G11:G22)</f>
        <v>3390663.5426429235</v>
      </c>
      <c r="L23" s="274"/>
    </row>
    <row r="24" spans="1:15">
      <c r="A24" s="301">
        <v>15</v>
      </c>
      <c r="B24" s="530" t="s">
        <v>253</v>
      </c>
      <c r="C24" s="531"/>
      <c r="D24" s="532"/>
      <c r="E24" s="532"/>
      <c r="F24" s="531"/>
      <c r="G24" s="534">
        <f>G23/12</f>
        <v>282555.29522024363</v>
      </c>
    </row>
    <row r="25" spans="1:15">
      <c r="A25" s="294"/>
      <c r="B25" s="294"/>
      <c r="C25" s="294"/>
      <c r="D25" s="294"/>
      <c r="E25" s="294"/>
      <c r="F25" s="294"/>
      <c r="G25" s="294"/>
    </row>
    <row r="26" spans="1:15">
      <c r="A26" s="294"/>
      <c r="B26" s="294"/>
      <c r="C26" s="294"/>
      <c r="D26" s="294"/>
      <c r="E26" s="294"/>
      <c r="F26" s="294"/>
      <c r="G26" s="294"/>
    </row>
    <row r="27" spans="1:15" ht="30" customHeight="1">
      <c r="A27" s="535" t="s">
        <v>519</v>
      </c>
      <c r="B27" s="822" t="s">
        <v>802</v>
      </c>
      <c r="C27" s="823"/>
      <c r="D27" s="823"/>
      <c r="E27" s="823"/>
      <c r="F27" s="823"/>
      <c r="G27" s="823"/>
      <c r="H27" s="536"/>
      <c r="I27" s="536"/>
      <c r="J27" s="536"/>
      <c r="K27" s="536"/>
      <c r="L27" s="536"/>
      <c r="M27" s="536"/>
      <c r="N27" s="536"/>
      <c r="O27" s="536"/>
    </row>
    <row r="28" spans="1:15">
      <c r="A28" s="294"/>
      <c r="B28" s="537" t="s">
        <v>803</v>
      </c>
      <c r="C28" s="538"/>
      <c r="D28" s="538"/>
      <c r="E28" s="538"/>
      <c r="F28" s="538"/>
      <c r="G28" s="538"/>
      <c r="H28" s="539"/>
      <c r="I28" s="539"/>
    </row>
    <row r="29" spans="1:15">
      <c r="A29" s="294"/>
      <c r="B29" s="296" t="s">
        <v>965</v>
      </c>
      <c r="C29" s="538"/>
      <c r="D29" s="538"/>
      <c r="E29" s="538"/>
      <c r="F29" s="538"/>
      <c r="G29" s="538"/>
      <c r="H29" s="539"/>
      <c r="I29" s="539"/>
    </row>
    <row r="30" spans="1:15" ht="17.25" customHeight="1">
      <c r="A30" s="294"/>
      <c r="B30" s="824" t="s">
        <v>804</v>
      </c>
      <c r="C30" s="825"/>
      <c r="D30" s="825"/>
      <c r="E30" s="825"/>
      <c r="F30" s="825"/>
      <c r="G30" s="825"/>
    </row>
    <row r="35" spans="2:4" ht="13.5">
      <c r="B35" s="294"/>
      <c r="C35" s="540"/>
      <c r="D35" s="294"/>
    </row>
  </sheetData>
  <mergeCells count="5">
    <mergeCell ref="B27:G27"/>
    <mergeCell ref="B30:G30"/>
    <mergeCell ref="A1:G1"/>
    <mergeCell ref="A2:G2"/>
    <mergeCell ref="A3:G3"/>
  </mergeCells>
  <printOptions horizontalCentered="1"/>
  <pageMargins left="0.75" right="0.75" top="1" bottom="1" header="0.5" footer="0.5"/>
  <pageSetup scale="74" orientation="portrait" r:id="rId1"/>
  <headerFooter alignWithMargins="0"/>
  <ignoredErrors>
    <ignoredError sqref="C19:G24" evalError="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pageSetUpPr fitToPage="1"/>
  </sheetPr>
  <dimension ref="A1:S140"/>
  <sheetViews>
    <sheetView workbookViewId="0">
      <selection sqref="A1:O1"/>
    </sheetView>
  </sheetViews>
  <sheetFormatPr defaultColWidth="8.77734375" defaultRowHeight="15"/>
  <cols>
    <col min="1" max="1" width="5.77734375" style="1" customWidth="1"/>
    <col min="2" max="2" width="9.77734375" style="27" customWidth="1"/>
    <col min="3" max="6" width="12.77734375" style="2" customWidth="1"/>
    <col min="7" max="7" width="3" style="27" customWidth="1"/>
    <col min="8" max="11" width="12.77734375" style="2" customWidth="1"/>
    <col min="12" max="12" width="15.21875" style="2" bestFit="1" customWidth="1"/>
    <col min="13" max="15" width="12.77734375" style="2" customWidth="1"/>
    <col min="16" max="16" width="10.77734375" style="2" customWidth="1"/>
    <col min="17" max="17" width="8.77734375" style="4"/>
    <col min="18" max="16384" width="8.77734375" style="2"/>
  </cols>
  <sheetData>
    <row r="1" spans="1:19">
      <c r="A1" s="779" t="s">
        <v>728</v>
      </c>
      <c r="B1" s="779"/>
      <c r="C1" s="779"/>
      <c r="D1" s="779"/>
      <c r="E1" s="779"/>
      <c r="F1" s="779"/>
      <c r="G1" s="779"/>
      <c r="H1" s="779"/>
      <c r="I1" s="779"/>
      <c r="J1" s="779"/>
      <c r="K1" s="779"/>
      <c r="L1" s="779"/>
      <c r="M1" s="779"/>
      <c r="N1" s="779"/>
      <c r="O1" s="779"/>
    </row>
    <row r="2" spans="1:19">
      <c r="A2" s="799" t="s">
        <v>710</v>
      </c>
      <c r="B2" s="799"/>
      <c r="C2" s="799"/>
      <c r="D2" s="799"/>
      <c r="E2" s="799"/>
      <c r="F2" s="799"/>
      <c r="G2" s="799"/>
      <c r="H2" s="799"/>
      <c r="I2" s="799"/>
      <c r="J2" s="799"/>
      <c r="K2" s="799"/>
      <c r="L2" s="799"/>
      <c r="M2" s="799"/>
      <c r="N2" s="799"/>
      <c r="O2" s="799"/>
    </row>
    <row r="3" spans="1:19">
      <c r="A3" s="800" t="str">
        <f>'Act Att-H'!C7</f>
        <v>Cheyenne Light, Fuel &amp; Power</v>
      </c>
      <c r="B3" s="800"/>
      <c r="C3" s="800"/>
      <c r="D3" s="800"/>
      <c r="E3" s="800"/>
      <c r="F3" s="800"/>
      <c r="G3" s="800"/>
      <c r="H3" s="800"/>
      <c r="I3" s="800"/>
      <c r="J3" s="800"/>
      <c r="K3" s="800"/>
      <c r="L3" s="800"/>
      <c r="M3" s="800"/>
      <c r="N3" s="800"/>
      <c r="O3" s="800"/>
    </row>
    <row r="4" spans="1:19">
      <c r="A4" s="5"/>
      <c r="C4" s="3"/>
      <c r="D4" s="3"/>
      <c r="E4" s="3"/>
      <c r="F4" s="3"/>
      <c r="G4" s="341"/>
      <c r="H4" s="3"/>
      <c r="I4" s="3"/>
      <c r="J4" s="3"/>
      <c r="O4" s="6" t="s">
        <v>673</v>
      </c>
    </row>
    <row r="5" spans="1:19" ht="15" customHeight="1">
      <c r="A5" s="44"/>
      <c r="C5" s="46"/>
      <c r="D5" s="46"/>
      <c r="E5" s="46"/>
      <c r="F5" s="46"/>
      <c r="G5" s="342"/>
    </row>
    <row r="6" spans="1:19" s="311" customFormat="1">
      <c r="A6" s="345" t="s">
        <v>4</v>
      </c>
      <c r="G6" s="320"/>
      <c r="H6" s="353" t="s">
        <v>694</v>
      </c>
      <c r="I6" s="595" t="s">
        <v>1030</v>
      </c>
      <c r="P6" s="2"/>
      <c r="Q6" s="4"/>
      <c r="R6" s="2"/>
      <c r="S6" s="2"/>
    </row>
    <row r="7" spans="1:19" s="311" customFormat="1">
      <c r="A7" s="343">
        <v>1</v>
      </c>
      <c r="B7" s="320"/>
      <c r="C7" s="826"/>
      <c r="D7" s="826"/>
      <c r="E7" s="826"/>
      <c r="F7" s="826"/>
      <c r="G7" s="320"/>
      <c r="H7" s="312" t="s">
        <v>687</v>
      </c>
      <c r="I7" s="333" t="s">
        <v>695</v>
      </c>
      <c r="J7" s="333"/>
      <c r="K7" s="359"/>
      <c r="L7" s="312" t="s">
        <v>687</v>
      </c>
      <c r="M7" s="333" t="s">
        <v>697</v>
      </c>
      <c r="N7" s="333"/>
      <c r="O7" s="359"/>
      <c r="P7" s="2"/>
      <c r="Q7" s="4"/>
      <c r="R7" s="2"/>
      <c r="S7" s="2"/>
    </row>
    <row r="8" spans="1:19" s="311" customFormat="1">
      <c r="A8" s="343">
        <f>A7+1</f>
        <v>2</v>
      </c>
      <c r="G8" s="320"/>
      <c r="H8" s="313" t="s">
        <v>696</v>
      </c>
      <c r="I8" s="334" t="s">
        <v>688</v>
      </c>
      <c r="J8" s="334"/>
      <c r="K8" s="314"/>
      <c r="L8" s="313" t="s">
        <v>696</v>
      </c>
      <c r="M8" s="334" t="s">
        <v>688</v>
      </c>
      <c r="N8" s="334"/>
      <c r="O8" s="314"/>
      <c r="P8" s="2"/>
      <c r="Q8" s="4"/>
      <c r="R8" s="2"/>
      <c r="S8" s="2"/>
    </row>
    <row r="9" spans="1:19" s="311" customFormat="1">
      <c r="A9" s="343">
        <f t="shared" ref="A9:A14" si="0">A8+1</f>
        <v>3</v>
      </c>
      <c r="B9" s="320"/>
      <c r="C9" s="826"/>
      <c r="D9" s="826"/>
      <c r="E9" s="826"/>
      <c r="F9" s="826"/>
      <c r="G9" s="320"/>
      <c r="H9" s="313" t="s">
        <v>714</v>
      </c>
      <c r="I9" s="335">
        <v>0</v>
      </c>
      <c r="J9" s="335"/>
      <c r="K9" s="314" t="s">
        <v>636</v>
      </c>
      <c r="L9" s="313" t="s">
        <v>714</v>
      </c>
      <c r="M9" s="335">
        <v>0</v>
      </c>
      <c r="N9" s="335"/>
      <c r="O9" s="314" t="s">
        <v>636</v>
      </c>
      <c r="P9" s="2"/>
      <c r="Q9" s="4"/>
      <c r="R9" s="2"/>
      <c r="S9" s="2"/>
    </row>
    <row r="10" spans="1:19" s="311" customFormat="1">
      <c r="A10" s="343">
        <f t="shared" si="0"/>
        <v>4</v>
      </c>
      <c r="G10" s="320"/>
      <c r="H10" s="313" t="s">
        <v>690</v>
      </c>
      <c r="I10" s="335">
        <v>0</v>
      </c>
      <c r="J10" s="335"/>
      <c r="K10" s="314" t="s">
        <v>700</v>
      </c>
      <c r="L10" s="313" t="s">
        <v>690</v>
      </c>
      <c r="M10" s="335">
        <v>0</v>
      </c>
      <c r="N10" s="335"/>
      <c r="O10" s="314" t="s">
        <v>700</v>
      </c>
      <c r="P10" s="2"/>
      <c r="Q10" s="4"/>
      <c r="R10" s="2"/>
      <c r="S10" s="2"/>
    </row>
    <row r="11" spans="1:19" s="311" customFormat="1">
      <c r="A11" s="343">
        <f t="shared" si="0"/>
        <v>5</v>
      </c>
      <c r="B11" s="320"/>
      <c r="C11" s="826"/>
      <c r="D11" s="826"/>
      <c r="E11" s="826"/>
      <c r="F11" s="826"/>
      <c r="G11" s="320"/>
      <c r="H11" s="313" t="s">
        <v>713</v>
      </c>
      <c r="I11" s="315">
        <f>I10*'Act Att-H'!E214</f>
        <v>0</v>
      </c>
      <c r="J11" s="315"/>
      <c r="K11" s="314"/>
      <c r="L11" s="313" t="s">
        <v>713</v>
      </c>
      <c r="M11" s="315">
        <f>M10*'Act Att-H'!E214</f>
        <v>0</v>
      </c>
      <c r="N11" s="315"/>
      <c r="O11" s="314"/>
      <c r="P11" s="2"/>
      <c r="Q11" s="4"/>
      <c r="R11" s="2"/>
      <c r="S11" s="2"/>
    </row>
    <row r="12" spans="1:19" s="311" customFormat="1">
      <c r="A12" s="343">
        <f t="shared" si="0"/>
        <v>6</v>
      </c>
      <c r="G12" s="320"/>
      <c r="H12" s="313" t="s">
        <v>691</v>
      </c>
      <c r="I12" s="337"/>
      <c r="J12" s="337"/>
      <c r="K12" s="314"/>
      <c r="L12" s="313" t="s">
        <v>691</v>
      </c>
      <c r="M12" s="337"/>
      <c r="N12" s="337"/>
      <c r="O12" s="314"/>
      <c r="P12" s="2"/>
      <c r="Q12" s="4"/>
      <c r="R12" s="2"/>
      <c r="S12" s="2"/>
    </row>
    <row r="13" spans="1:19" s="311" customFormat="1">
      <c r="A13" s="343">
        <f t="shared" si="0"/>
        <v>7</v>
      </c>
      <c r="B13" s="320"/>
      <c r="C13" s="826"/>
      <c r="D13" s="826"/>
      <c r="E13" s="826"/>
      <c r="F13" s="826"/>
      <c r="G13" s="320"/>
      <c r="H13" s="313"/>
      <c r="I13" s="3"/>
      <c r="J13" s="3"/>
      <c r="K13" s="314"/>
      <c r="L13" s="313"/>
      <c r="M13" s="3"/>
      <c r="N13" s="3"/>
      <c r="O13" s="314"/>
      <c r="P13" s="2"/>
      <c r="Q13" s="4"/>
      <c r="R13" s="2"/>
      <c r="S13" s="2"/>
    </row>
    <row r="14" spans="1:19" s="311" customFormat="1">
      <c r="A14" s="343">
        <f t="shared" si="0"/>
        <v>8</v>
      </c>
      <c r="B14" s="320"/>
      <c r="C14" s="798" t="s">
        <v>9</v>
      </c>
      <c r="D14" s="798"/>
      <c r="E14" s="798"/>
      <c r="F14" s="798"/>
      <c r="G14" s="320"/>
      <c r="H14" s="313"/>
      <c r="I14" s="3"/>
      <c r="J14" s="3"/>
      <c r="K14" s="314"/>
      <c r="L14" s="313"/>
      <c r="M14" s="3"/>
      <c r="N14" s="3"/>
      <c r="O14" s="314"/>
      <c r="P14" s="2"/>
      <c r="Q14" s="4"/>
      <c r="R14" s="2"/>
      <c r="S14" s="2"/>
    </row>
    <row r="15" spans="1:19" s="311" customFormat="1">
      <c r="A15" s="343"/>
      <c r="B15" s="320"/>
      <c r="G15" s="320"/>
      <c r="H15" s="313"/>
      <c r="I15" s="3"/>
      <c r="J15" s="3"/>
      <c r="K15" s="314"/>
      <c r="L15" s="313"/>
      <c r="M15" s="3"/>
      <c r="N15" s="3"/>
      <c r="O15" s="314"/>
      <c r="P15" s="2"/>
      <c r="Q15" s="4"/>
      <c r="R15" s="2"/>
      <c r="S15" s="2"/>
    </row>
    <row r="16" spans="1:19" s="311" customFormat="1">
      <c r="A16" s="320"/>
      <c r="B16" s="340" t="s">
        <v>712</v>
      </c>
      <c r="C16" s="340" t="s">
        <v>485</v>
      </c>
      <c r="D16" s="340" t="s">
        <v>486</v>
      </c>
      <c r="E16" s="340" t="s">
        <v>487</v>
      </c>
      <c r="F16" s="340" t="s">
        <v>707</v>
      </c>
      <c r="G16" s="320"/>
      <c r="H16" s="355" t="s">
        <v>485</v>
      </c>
      <c r="I16" s="340" t="s">
        <v>486</v>
      </c>
      <c r="J16" s="340" t="s">
        <v>487</v>
      </c>
      <c r="K16" s="360" t="s">
        <v>693</v>
      </c>
      <c r="L16" s="355" t="s">
        <v>485</v>
      </c>
      <c r="M16" s="340" t="s">
        <v>486</v>
      </c>
      <c r="N16" s="340" t="s">
        <v>487</v>
      </c>
      <c r="O16" s="360" t="s">
        <v>693</v>
      </c>
      <c r="P16" s="2"/>
      <c r="Q16" s="4"/>
      <c r="R16" s="2"/>
      <c r="S16" s="2"/>
    </row>
    <row r="17" spans="1:19" s="311" customFormat="1">
      <c r="A17" s="320"/>
      <c r="B17" s="317" t="s">
        <v>157</v>
      </c>
      <c r="C17" s="317" t="s">
        <v>158</v>
      </c>
      <c r="D17" s="317" t="s">
        <v>703</v>
      </c>
      <c r="E17" s="317" t="s">
        <v>704</v>
      </c>
      <c r="F17" s="317" t="s">
        <v>705</v>
      </c>
      <c r="G17" s="317"/>
      <c r="H17" s="356" t="s">
        <v>715</v>
      </c>
      <c r="I17" s="317" t="s">
        <v>716</v>
      </c>
      <c r="J17" s="317" t="s">
        <v>717</v>
      </c>
      <c r="K17" s="316" t="s">
        <v>718</v>
      </c>
      <c r="L17" s="356" t="s">
        <v>719</v>
      </c>
      <c r="M17" s="317" t="s">
        <v>720</v>
      </c>
      <c r="N17" s="317" t="s">
        <v>721</v>
      </c>
      <c r="O17" s="316" t="s">
        <v>722</v>
      </c>
      <c r="P17" s="2"/>
      <c r="Q17" s="4"/>
      <c r="R17" s="2"/>
      <c r="S17" s="2"/>
    </row>
    <row r="18" spans="1:19" s="311" customFormat="1">
      <c r="A18" s="320"/>
      <c r="B18" s="320"/>
      <c r="G18" s="320"/>
      <c r="H18" s="338">
        <f>I12</f>
        <v>0</v>
      </c>
      <c r="I18" s="320"/>
      <c r="J18" s="320"/>
      <c r="K18" s="321"/>
      <c r="L18" s="338">
        <f>M12</f>
        <v>0</v>
      </c>
      <c r="M18" s="320"/>
      <c r="N18" s="320"/>
      <c r="O18" s="321"/>
      <c r="P18" s="2"/>
      <c r="Q18" s="4"/>
      <c r="R18" s="2"/>
      <c r="S18" s="2"/>
    </row>
    <row r="19" spans="1:19" s="311" customFormat="1">
      <c r="A19" s="343">
        <f>A14+1</f>
        <v>9</v>
      </c>
      <c r="B19" s="285">
        <f>'P1-Trans Plant'!B18</f>
        <v>44927</v>
      </c>
      <c r="C19" s="322">
        <f>+H19+L19</f>
        <v>0</v>
      </c>
      <c r="D19" s="322">
        <f t="shared" ref="D19:E19" si="1">+I19+M19</f>
        <v>0</v>
      </c>
      <c r="E19" s="322">
        <f t="shared" si="1"/>
        <v>0</v>
      </c>
      <c r="F19" s="354"/>
      <c r="G19" s="343"/>
      <c r="H19" s="338">
        <f>H18</f>
        <v>0</v>
      </c>
      <c r="I19" s="685">
        <f>H19*I$9</f>
        <v>0</v>
      </c>
      <c r="J19" s="685">
        <f>I19</f>
        <v>0</v>
      </c>
      <c r="K19" s="324">
        <f>+H19-J19</f>
        <v>0</v>
      </c>
      <c r="L19" s="338">
        <f>L18</f>
        <v>0</v>
      </c>
      <c r="M19" s="685">
        <f>L19*M$9</f>
        <v>0</v>
      </c>
      <c r="N19" s="685">
        <f>M19</f>
        <v>0</v>
      </c>
      <c r="O19" s="324">
        <f>+L19-N19</f>
        <v>0</v>
      </c>
      <c r="P19" s="2"/>
      <c r="Q19" s="4"/>
      <c r="R19" s="2"/>
      <c r="S19" s="2"/>
    </row>
    <row r="20" spans="1:19" s="311" customFormat="1">
      <c r="A20" s="343">
        <f t="shared" ref="A20:A42" si="2">A19+1</f>
        <v>10</v>
      </c>
      <c r="B20" s="285">
        <f>'P1-Trans Plant'!B19</f>
        <v>44958</v>
      </c>
      <c r="C20" s="322">
        <f t="shared" ref="C20:C42" si="3">+H20+L20</f>
        <v>0</v>
      </c>
      <c r="D20" s="322">
        <f t="shared" ref="D20:D42" si="4">+I20+M20</f>
        <v>0</v>
      </c>
      <c r="E20" s="322">
        <f t="shared" ref="E20:E42" si="5">+J20+N20</f>
        <v>0</v>
      </c>
      <c r="F20" s="354"/>
      <c r="G20" s="343"/>
      <c r="H20" s="338">
        <v>0</v>
      </c>
      <c r="I20" s="685">
        <f t="shared" ref="I20:I42" si="6">H20*I$9</f>
        <v>0</v>
      </c>
      <c r="J20" s="685">
        <f>J19+I20</f>
        <v>0</v>
      </c>
      <c r="K20" s="324">
        <f>+H20-J20</f>
        <v>0</v>
      </c>
      <c r="L20" s="338">
        <v>0</v>
      </c>
      <c r="M20" s="685">
        <f t="shared" ref="M20:M42" si="7">L20*M$9</f>
        <v>0</v>
      </c>
      <c r="N20" s="685">
        <f>N19+M20</f>
        <v>0</v>
      </c>
      <c r="O20" s="324">
        <f>+L20-N20</f>
        <v>0</v>
      </c>
      <c r="P20" s="2"/>
      <c r="Q20" s="4"/>
      <c r="R20" s="2"/>
      <c r="S20" s="2"/>
    </row>
    <row r="21" spans="1:19" s="311" customFormat="1">
      <c r="A21" s="343">
        <f t="shared" si="2"/>
        <v>11</v>
      </c>
      <c r="B21" s="285">
        <f>'P1-Trans Plant'!B20</f>
        <v>44986</v>
      </c>
      <c r="C21" s="322">
        <f t="shared" si="3"/>
        <v>0</v>
      </c>
      <c r="D21" s="322">
        <f t="shared" si="4"/>
        <v>0</v>
      </c>
      <c r="E21" s="322">
        <f t="shared" si="5"/>
        <v>0</v>
      </c>
      <c r="F21" s="354"/>
      <c r="G21" s="343"/>
      <c r="H21" s="338">
        <v>0</v>
      </c>
      <c r="I21" s="685">
        <f t="shared" si="6"/>
        <v>0</v>
      </c>
      <c r="J21" s="685">
        <f t="shared" ref="J21:J42" si="8">J20+I21</f>
        <v>0</v>
      </c>
      <c r="K21" s="324">
        <f t="shared" ref="K21:K42" si="9">+H21-J21</f>
        <v>0</v>
      </c>
      <c r="L21" s="338">
        <v>0</v>
      </c>
      <c r="M21" s="685">
        <f t="shared" si="7"/>
        <v>0</v>
      </c>
      <c r="N21" s="685">
        <f t="shared" ref="N21:N42" si="10">N20+M21</f>
        <v>0</v>
      </c>
      <c r="O21" s="324">
        <f t="shared" ref="O21:O42" si="11">+L21-N21</f>
        <v>0</v>
      </c>
      <c r="P21" s="2"/>
      <c r="Q21" s="4"/>
      <c r="R21" s="2"/>
      <c r="S21" s="2"/>
    </row>
    <row r="22" spans="1:19" s="311" customFormat="1">
      <c r="A22" s="343">
        <f t="shared" si="2"/>
        <v>12</v>
      </c>
      <c r="B22" s="285">
        <f>'P1-Trans Plant'!B21</f>
        <v>45017</v>
      </c>
      <c r="C22" s="322">
        <f t="shared" si="3"/>
        <v>0</v>
      </c>
      <c r="D22" s="322">
        <f t="shared" si="4"/>
        <v>0</v>
      </c>
      <c r="E22" s="322">
        <f t="shared" si="5"/>
        <v>0</v>
      </c>
      <c r="F22" s="354"/>
      <c r="G22" s="343"/>
      <c r="H22" s="338">
        <v>0</v>
      </c>
      <c r="I22" s="685">
        <f t="shared" si="6"/>
        <v>0</v>
      </c>
      <c r="J22" s="685">
        <f t="shared" si="8"/>
        <v>0</v>
      </c>
      <c r="K22" s="324">
        <f t="shared" si="9"/>
        <v>0</v>
      </c>
      <c r="L22" s="338">
        <v>0</v>
      </c>
      <c r="M22" s="685">
        <f t="shared" si="7"/>
        <v>0</v>
      </c>
      <c r="N22" s="685">
        <f t="shared" si="10"/>
        <v>0</v>
      </c>
      <c r="O22" s="324">
        <f t="shared" si="11"/>
        <v>0</v>
      </c>
      <c r="P22" s="2"/>
      <c r="Q22" s="4"/>
      <c r="R22" s="2"/>
      <c r="S22" s="2"/>
    </row>
    <row r="23" spans="1:19" s="311" customFormat="1">
      <c r="A23" s="343">
        <f t="shared" si="2"/>
        <v>13</v>
      </c>
      <c r="B23" s="285">
        <f>'P1-Trans Plant'!B22</f>
        <v>45047</v>
      </c>
      <c r="C23" s="322">
        <f t="shared" si="3"/>
        <v>0</v>
      </c>
      <c r="D23" s="322">
        <f t="shared" si="4"/>
        <v>0</v>
      </c>
      <c r="E23" s="322">
        <f t="shared" si="5"/>
        <v>0</v>
      </c>
      <c r="F23" s="354"/>
      <c r="G23" s="343"/>
      <c r="H23" s="338">
        <v>0</v>
      </c>
      <c r="I23" s="685">
        <f t="shared" si="6"/>
        <v>0</v>
      </c>
      <c r="J23" s="685">
        <f t="shared" si="8"/>
        <v>0</v>
      </c>
      <c r="K23" s="324">
        <f t="shared" si="9"/>
        <v>0</v>
      </c>
      <c r="L23" s="338">
        <v>0</v>
      </c>
      <c r="M23" s="685">
        <f t="shared" si="7"/>
        <v>0</v>
      </c>
      <c r="N23" s="685">
        <f t="shared" si="10"/>
        <v>0</v>
      </c>
      <c r="O23" s="324">
        <f t="shared" si="11"/>
        <v>0</v>
      </c>
      <c r="P23" s="2"/>
      <c r="Q23" s="4"/>
      <c r="R23" s="2"/>
      <c r="S23" s="2"/>
    </row>
    <row r="24" spans="1:19" s="311" customFormat="1">
      <c r="A24" s="343">
        <f t="shared" si="2"/>
        <v>14</v>
      </c>
      <c r="B24" s="285">
        <f>'P1-Trans Plant'!B23</f>
        <v>45078</v>
      </c>
      <c r="C24" s="322">
        <f t="shared" si="3"/>
        <v>0</v>
      </c>
      <c r="D24" s="322">
        <f t="shared" si="4"/>
        <v>0</v>
      </c>
      <c r="E24" s="322">
        <f t="shared" si="5"/>
        <v>0</v>
      </c>
      <c r="F24" s="354"/>
      <c r="G24" s="343"/>
      <c r="H24" s="338">
        <v>0</v>
      </c>
      <c r="I24" s="685">
        <f t="shared" si="6"/>
        <v>0</v>
      </c>
      <c r="J24" s="685">
        <f t="shared" si="8"/>
        <v>0</v>
      </c>
      <c r="K24" s="324">
        <f t="shared" si="9"/>
        <v>0</v>
      </c>
      <c r="L24" s="338">
        <v>0</v>
      </c>
      <c r="M24" s="685">
        <f t="shared" si="7"/>
        <v>0</v>
      </c>
      <c r="N24" s="685">
        <f t="shared" si="10"/>
        <v>0</v>
      </c>
      <c r="O24" s="324">
        <f t="shared" si="11"/>
        <v>0</v>
      </c>
      <c r="P24" s="2"/>
      <c r="Q24" s="4"/>
      <c r="R24" s="2"/>
      <c r="S24" s="2"/>
    </row>
    <row r="25" spans="1:19" s="311" customFormat="1">
      <c r="A25" s="343">
        <f t="shared" si="2"/>
        <v>15</v>
      </c>
      <c r="B25" s="285">
        <f>'P1-Trans Plant'!B24</f>
        <v>45108</v>
      </c>
      <c r="C25" s="322">
        <f t="shared" si="3"/>
        <v>0</v>
      </c>
      <c r="D25" s="322">
        <f t="shared" si="4"/>
        <v>0</v>
      </c>
      <c r="E25" s="322">
        <f t="shared" si="5"/>
        <v>0</v>
      </c>
      <c r="F25" s="354"/>
      <c r="G25" s="343"/>
      <c r="H25" s="338">
        <v>0</v>
      </c>
      <c r="I25" s="685">
        <f t="shared" si="6"/>
        <v>0</v>
      </c>
      <c r="J25" s="685">
        <f t="shared" si="8"/>
        <v>0</v>
      </c>
      <c r="K25" s="324">
        <f t="shared" si="9"/>
        <v>0</v>
      </c>
      <c r="L25" s="338">
        <v>0</v>
      </c>
      <c r="M25" s="685">
        <f t="shared" si="7"/>
        <v>0</v>
      </c>
      <c r="N25" s="685">
        <f t="shared" si="10"/>
        <v>0</v>
      </c>
      <c r="O25" s="324">
        <f t="shared" si="11"/>
        <v>0</v>
      </c>
      <c r="P25" s="2"/>
      <c r="Q25" s="4"/>
      <c r="R25" s="2"/>
      <c r="S25" s="2"/>
    </row>
    <row r="26" spans="1:19" s="311" customFormat="1">
      <c r="A26" s="343">
        <f t="shared" si="2"/>
        <v>16</v>
      </c>
      <c r="B26" s="285">
        <f>'P1-Trans Plant'!B25</f>
        <v>45139</v>
      </c>
      <c r="C26" s="322">
        <f t="shared" si="3"/>
        <v>0</v>
      </c>
      <c r="D26" s="322">
        <f t="shared" si="4"/>
        <v>0</v>
      </c>
      <c r="E26" s="322">
        <f t="shared" si="5"/>
        <v>0</v>
      </c>
      <c r="F26" s="354"/>
      <c r="G26" s="343"/>
      <c r="H26" s="338">
        <v>0</v>
      </c>
      <c r="I26" s="685">
        <f t="shared" si="6"/>
        <v>0</v>
      </c>
      <c r="J26" s="685">
        <f t="shared" si="8"/>
        <v>0</v>
      </c>
      <c r="K26" s="324">
        <f t="shared" si="9"/>
        <v>0</v>
      </c>
      <c r="L26" s="338">
        <v>0</v>
      </c>
      <c r="M26" s="685">
        <f t="shared" si="7"/>
        <v>0</v>
      </c>
      <c r="N26" s="685">
        <f t="shared" si="10"/>
        <v>0</v>
      </c>
      <c r="O26" s="324">
        <f t="shared" si="11"/>
        <v>0</v>
      </c>
      <c r="P26" s="2"/>
      <c r="Q26" s="4"/>
      <c r="R26" s="2"/>
      <c r="S26" s="2"/>
    </row>
    <row r="27" spans="1:19" s="311" customFormat="1">
      <c r="A27" s="343">
        <f t="shared" si="2"/>
        <v>17</v>
      </c>
      <c r="B27" s="285">
        <f>'P1-Trans Plant'!B26</f>
        <v>45170</v>
      </c>
      <c r="C27" s="322">
        <f t="shared" si="3"/>
        <v>0</v>
      </c>
      <c r="D27" s="322">
        <f t="shared" si="4"/>
        <v>0</v>
      </c>
      <c r="E27" s="322">
        <f t="shared" si="5"/>
        <v>0</v>
      </c>
      <c r="F27" s="354"/>
      <c r="G27" s="343"/>
      <c r="H27" s="338">
        <v>0</v>
      </c>
      <c r="I27" s="685">
        <f t="shared" si="6"/>
        <v>0</v>
      </c>
      <c r="J27" s="685">
        <f t="shared" si="8"/>
        <v>0</v>
      </c>
      <c r="K27" s="324">
        <f t="shared" si="9"/>
        <v>0</v>
      </c>
      <c r="L27" s="338">
        <v>0</v>
      </c>
      <c r="M27" s="685">
        <f t="shared" si="7"/>
        <v>0</v>
      </c>
      <c r="N27" s="685">
        <f t="shared" si="10"/>
        <v>0</v>
      </c>
      <c r="O27" s="324">
        <f t="shared" si="11"/>
        <v>0</v>
      </c>
      <c r="P27" s="2"/>
      <c r="Q27" s="4"/>
      <c r="R27" s="2"/>
      <c r="S27" s="2"/>
    </row>
    <row r="28" spans="1:19" s="311" customFormat="1">
      <c r="A28" s="343">
        <f t="shared" si="2"/>
        <v>18</v>
      </c>
      <c r="B28" s="285">
        <f>'P1-Trans Plant'!B27</f>
        <v>45200</v>
      </c>
      <c r="C28" s="322">
        <f t="shared" si="3"/>
        <v>0</v>
      </c>
      <c r="D28" s="322">
        <f t="shared" si="4"/>
        <v>0</v>
      </c>
      <c r="E28" s="322">
        <f t="shared" si="5"/>
        <v>0</v>
      </c>
      <c r="F28" s="354"/>
      <c r="G28" s="343"/>
      <c r="H28" s="338">
        <v>0</v>
      </c>
      <c r="I28" s="685">
        <f t="shared" si="6"/>
        <v>0</v>
      </c>
      <c r="J28" s="685">
        <f t="shared" si="8"/>
        <v>0</v>
      </c>
      <c r="K28" s="324">
        <f t="shared" si="9"/>
        <v>0</v>
      </c>
      <c r="L28" s="338">
        <v>0</v>
      </c>
      <c r="M28" s="685">
        <f t="shared" si="7"/>
        <v>0</v>
      </c>
      <c r="N28" s="685">
        <f t="shared" si="10"/>
        <v>0</v>
      </c>
      <c r="O28" s="324">
        <f t="shared" si="11"/>
        <v>0</v>
      </c>
      <c r="P28" s="2"/>
      <c r="Q28" s="4"/>
      <c r="R28" s="2"/>
      <c r="S28" s="2"/>
    </row>
    <row r="29" spans="1:19" s="311" customFormat="1">
      <c r="A29" s="343">
        <f t="shared" si="2"/>
        <v>19</v>
      </c>
      <c r="B29" s="285">
        <f>'P1-Trans Plant'!B28</f>
        <v>45231</v>
      </c>
      <c r="C29" s="322">
        <f t="shared" si="3"/>
        <v>0</v>
      </c>
      <c r="D29" s="322">
        <f t="shared" si="4"/>
        <v>0</v>
      </c>
      <c r="E29" s="322">
        <f t="shared" si="5"/>
        <v>0</v>
      </c>
      <c r="F29" s="354"/>
      <c r="G29" s="343"/>
      <c r="H29" s="338">
        <v>0</v>
      </c>
      <c r="I29" s="685">
        <f t="shared" si="6"/>
        <v>0</v>
      </c>
      <c r="J29" s="685">
        <f t="shared" si="8"/>
        <v>0</v>
      </c>
      <c r="K29" s="324">
        <f t="shared" si="9"/>
        <v>0</v>
      </c>
      <c r="L29" s="338">
        <v>0</v>
      </c>
      <c r="M29" s="685">
        <f t="shared" si="7"/>
        <v>0</v>
      </c>
      <c r="N29" s="685">
        <f t="shared" si="10"/>
        <v>0</v>
      </c>
      <c r="O29" s="324">
        <f t="shared" si="11"/>
        <v>0</v>
      </c>
      <c r="P29" s="2"/>
      <c r="Q29" s="4"/>
      <c r="R29" s="2"/>
      <c r="S29" s="2"/>
    </row>
    <row r="30" spans="1:19" s="311" customFormat="1">
      <c r="A30" s="343">
        <f t="shared" si="2"/>
        <v>20</v>
      </c>
      <c r="B30" s="285">
        <f>'P1-Trans Plant'!B29</f>
        <v>45261</v>
      </c>
      <c r="C30" s="322">
        <f t="shared" si="3"/>
        <v>0</v>
      </c>
      <c r="D30" s="322">
        <f t="shared" si="4"/>
        <v>0</v>
      </c>
      <c r="E30" s="322">
        <f t="shared" si="5"/>
        <v>0</v>
      </c>
      <c r="F30" s="354"/>
      <c r="G30" s="343"/>
      <c r="H30" s="338">
        <v>0</v>
      </c>
      <c r="I30" s="685">
        <f t="shared" si="6"/>
        <v>0</v>
      </c>
      <c r="J30" s="685">
        <f t="shared" si="8"/>
        <v>0</v>
      </c>
      <c r="K30" s="324">
        <f t="shared" si="9"/>
        <v>0</v>
      </c>
      <c r="L30" s="338">
        <v>0</v>
      </c>
      <c r="M30" s="685">
        <f t="shared" si="7"/>
        <v>0</v>
      </c>
      <c r="N30" s="685">
        <f t="shared" si="10"/>
        <v>0</v>
      </c>
      <c r="O30" s="324">
        <f t="shared" si="11"/>
        <v>0</v>
      </c>
      <c r="P30" s="2"/>
      <c r="Q30" s="4"/>
      <c r="R30" s="2"/>
      <c r="S30" s="2"/>
    </row>
    <row r="31" spans="1:19" s="311" customFormat="1">
      <c r="A31" s="343">
        <f t="shared" si="2"/>
        <v>21</v>
      </c>
      <c r="B31" s="285">
        <f>'P1-Trans Plant'!B30</f>
        <v>45292</v>
      </c>
      <c r="C31" s="322">
        <f t="shared" si="3"/>
        <v>0</v>
      </c>
      <c r="D31" s="322">
        <f t="shared" si="4"/>
        <v>0</v>
      </c>
      <c r="E31" s="322">
        <f t="shared" si="5"/>
        <v>0</v>
      </c>
      <c r="F31" s="354"/>
      <c r="G31" s="343"/>
      <c r="H31" s="338">
        <v>0</v>
      </c>
      <c r="I31" s="685">
        <f t="shared" si="6"/>
        <v>0</v>
      </c>
      <c r="J31" s="685">
        <f t="shared" si="8"/>
        <v>0</v>
      </c>
      <c r="K31" s="324">
        <f t="shared" si="9"/>
        <v>0</v>
      </c>
      <c r="L31" s="338">
        <v>0</v>
      </c>
      <c r="M31" s="685">
        <f t="shared" si="7"/>
        <v>0</v>
      </c>
      <c r="N31" s="685">
        <f t="shared" si="10"/>
        <v>0</v>
      </c>
      <c r="O31" s="324">
        <f t="shared" si="11"/>
        <v>0</v>
      </c>
      <c r="P31" s="2"/>
      <c r="Q31" s="4"/>
      <c r="R31" s="2"/>
      <c r="S31" s="2"/>
    </row>
    <row r="32" spans="1:19" s="311" customFormat="1">
      <c r="A32" s="343">
        <f t="shared" si="2"/>
        <v>22</v>
      </c>
      <c r="B32" s="285">
        <f>'P1-Trans Plant'!B31</f>
        <v>45323</v>
      </c>
      <c r="C32" s="322">
        <f t="shared" si="3"/>
        <v>0</v>
      </c>
      <c r="D32" s="322">
        <f t="shared" si="4"/>
        <v>0</v>
      </c>
      <c r="E32" s="322">
        <f t="shared" si="5"/>
        <v>0</v>
      </c>
      <c r="F32" s="354"/>
      <c r="G32" s="343"/>
      <c r="H32" s="338">
        <v>0</v>
      </c>
      <c r="I32" s="685">
        <f t="shared" si="6"/>
        <v>0</v>
      </c>
      <c r="J32" s="685">
        <f t="shared" si="8"/>
        <v>0</v>
      </c>
      <c r="K32" s="324">
        <f t="shared" si="9"/>
        <v>0</v>
      </c>
      <c r="L32" s="338">
        <v>0</v>
      </c>
      <c r="M32" s="685">
        <f t="shared" si="7"/>
        <v>0</v>
      </c>
      <c r="N32" s="685">
        <f t="shared" si="10"/>
        <v>0</v>
      </c>
      <c r="O32" s="324">
        <f t="shared" si="11"/>
        <v>0</v>
      </c>
      <c r="P32" s="2"/>
      <c r="Q32" s="4"/>
      <c r="R32" s="2"/>
      <c r="S32" s="2"/>
    </row>
    <row r="33" spans="1:19" s="311" customFormat="1">
      <c r="A33" s="343">
        <f t="shared" si="2"/>
        <v>23</v>
      </c>
      <c r="B33" s="285">
        <f>'P1-Trans Plant'!B32</f>
        <v>45352</v>
      </c>
      <c r="C33" s="322">
        <f t="shared" si="3"/>
        <v>0</v>
      </c>
      <c r="D33" s="322">
        <f t="shared" si="4"/>
        <v>0</v>
      </c>
      <c r="E33" s="322">
        <f t="shared" si="5"/>
        <v>0</v>
      </c>
      <c r="F33" s="354"/>
      <c r="G33" s="343"/>
      <c r="H33" s="338">
        <v>0</v>
      </c>
      <c r="I33" s="685">
        <f t="shared" si="6"/>
        <v>0</v>
      </c>
      <c r="J33" s="685">
        <f t="shared" si="8"/>
        <v>0</v>
      </c>
      <c r="K33" s="324">
        <f t="shared" si="9"/>
        <v>0</v>
      </c>
      <c r="L33" s="338">
        <v>0</v>
      </c>
      <c r="M33" s="685">
        <f t="shared" si="7"/>
        <v>0</v>
      </c>
      <c r="N33" s="685">
        <f t="shared" si="10"/>
        <v>0</v>
      </c>
      <c r="O33" s="324">
        <f t="shared" si="11"/>
        <v>0</v>
      </c>
      <c r="P33" s="2"/>
      <c r="Q33" s="4"/>
      <c r="R33" s="2"/>
      <c r="S33" s="2"/>
    </row>
    <row r="34" spans="1:19" s="311" customFormat="1">
      <c r="A34" s="343">
        <f t="shared" si="2"/>
        <v>24</v>
      </c>
      <c r="B34" s="285">
        <f>'P1-Trans Plant'!B33</f>
        <v>45383</v>
      </c>
      <c r="C34" s="322">
        <f t="shared" si="3"/>
        <v>0</v>
      </c>
      <c r="D34" s="322">
        <f t="shared" si="4"/>
        <v>0</v>
      </c>
      <c r="E34" s="322">
        <f t="shared" si="5"/>
        <v>0</v>
      </c>
      <c r="F34" s="354"/>
      <c r="G34" s="343"/>
      <c r="H34" s="338">
        <v>0</v>
      </c>
      <c r="I34" s="685">
        <f t="shared" si="6"/>
        <v>0</v>
      </c>
      <c r="J34" s="685">
        <f t="shared" si="8"/>
        <v>0</v>
      </c>
      <c r="K34" s="324">
        <f t="shared" si="9"/>
        <v>0</v>
      </c>
      <c r="L34" s="338">
        <v>0</v>
      </c>
      <c r="M34" s="685">
        <f t="shared" si="7"/>
        <v>0</v>
      </c>
      <c r="N34" s="685">
        <f t="shared" si="10"/>
        <v>0</v>
      </c>
      <c r="O34" s="324">
        <f t="shared" si="11"/>
        <v>0</v>
      </c>
      <c r="P34" s="2"/>
      <c r="Q34" s="4"/>
      <c r="R34" s="2"/>
      <c r="S34" s="2"/>
    </row>
    <row r="35" spans="1:19" s="311" customFormat="1">
      <c r="A35" s="343">
        <f t="shared" si="2"/>
        <v>25</v>
      </c>
      <c r="B35" s="285">
        <f>'P1-Trans Plant'!B34</f>
        <v>45413</v>
      </c>
      <c r="C35" s="322">
        <f t="shared" si="3"/>
        <v>0</v>
      </c>
      <c r="D35" s="322">
        <f t="shared" si="4"/>
        <v>0</v>
      </c>
      <c r="E35" s="322">
        <f t="shared" si="5"/>
        <v>0</v>
      </c>
      <c r="F35" s="354"/>
      <c r="G35" s="343"/>
      <c r="H35" s="338">
        <v>0</v>
      </c>
      <c r="I35" s="685">
        <f t="shared" si="6"/>
        <v>0</v>
      </c>
      <c r="J35" s="685">
        <f t="shared" si="8"/>
        <v>0</v>
      </c>
      <c r="K35" s="324">
        <f t="shared" si="9"/>
        <v>0</v>
      </c>
      <c r="L35" s="338">
        <v>0</v>
      </c>
      <c r="M35" s="685">
        <f t="shared" si="7"/>
        <v>0</v>
      </c>
      <c r="N35" s="685">
        <f t="shared" si="10"/>
        <v>0</v>
      </c>
      <c r="O35" s="324">
        <f t="shared" si="11"/>
        <v>0</v>
      </c>
      <c r="P35" s="2"/>
      <c r="Q35" s="4"/>
      <c r="R35" s="2"/>
      <c r="S35" s="2"/>
    </row>
    <row r="36" spans="1:19" s="311" customFormat="1">
      <c r="A36" s="343">
        <f t="shared" si="2"/>
        <v>26</v>
      </c>
      <c r="B36" s="285">
        <f>'P1-Trans Plant'!B35</f>
        <v>45444</v>
      </c>
      <c r="C36" s="322">
        <f t="shared" si="3"/>
        <v>0</v>
      </c>
      <c r="D36" s="322">
        <f t="shared" si="4"/>
        <v>0</v>
      </c>
      <c r="E36" s="322">
        <f t="shared" si="5"/>
        <v>0</v>
      </c>
      <c r="F36" s="354"/>
      <c r="G36" s="343"/>
      <c r="H36" s="338">
        <v>0</v>
      </c>
      <c r="I36" s="685">
        <f t="shared" si="6"/>
        <v>0</v>
      </c>
      <c r="J36" s="685">
        <f t="shared" si="8"/>
        <v>0</v>
      </c>
      <c r="K36" s="324">
        <f t="shared" si="9"/>
        <v>0</v>
      </c>
      <c r="L36" s="338">
        <v>0</v>
      </c>
      <c r="M36" s="685">
        <f t="shared" si="7"/>
        <v>0</v>
      </c>
      <c r="N36" s="685">
        <f t="shared" si="10"/>
        <v>0</v>
      </c>
      <c r="O36" s="324">
        <f t="shared" si="11"/>
        <v>0</v>
      </c>
      <c r="P36" s="2"/>
      <c r="Q36" s="4"/>
      <c r="R36" s="2"/>
      <c r="S36" s="2"/>
    </row>
    <row r="37" spans="1:19" s="311" customFormat="1">
      <c r="A37" s="343">
        <f t="shared" si="2"/>
        <v>27</v>
      </c>
      <c r="B37" s="285">
        <f>'P1-Trans Plant'!B36</f>
        <v>45474</v>
      </c>
      <c r="C37" s="322">
        <f t="shared" si="3"/>
        <v>0</v>
      </c>
      <c r="D37" s="322">
        <f t="shared" si="4"/>
        <v>0</v>
      </c>
      <c r="E37" s="322">
        <f t="shared" si="5"/>
        <v>0</v>
      </c>
      <c r="F37" s="354"/>
      <c r="G37" s="343"/>
      <c r="H37" s="338">
        <v>0</v>
      </c>
      <c r="I37" s="685">
        <f t="shared" si="6"/>
        <v>0</v>
      </c>
      <c r="J37" s="685">
        <f t="shared" si="8"/>
        <v>0</v>
      </c>
      <c r="K37" s="324">
        <f t="shared" si="9"/>
        <v>0</v>
      </c>
      <c r="L37" s="338">
        <v>0</v>
      </c>
      <c r="M37" s="685">
        <f t="shared" si="7"/>
        <v>0</v>
      </c>
      <c r="N37" s="685">
        <f t="shared" si="10"/>
        <v>0</v>
      </c>
      <c r="O37" s="324">
        <f t="shared" si="11"/>
        <v>0</v>
      </c>
      <c r="P37" s="2"/>
      <c r="Q37" s="4"/>
      <c r="R37" s="2"/>
      <c r="S37" s="2"/>
    </row>
    <row r="38" spans="1:19" s="311" customFormat="1">
      <c r="A38" s="343">
        <f t="shared" si="2"/>
        <v>28</v>
      </c>
      <c r="B38" s="285">
        <f>'P1-Trans Plant'!B37</f>
        <v>45505</v>
      </c>
      <c r="C38" s="322">
        <f t="shared" si="3"/>
        <v>0</v>
      </c>
      <c r="D38" s="322">
        <f t="shared" si="4"/>
        <v>0</v>
      </c>
      <c r="E38" s="322">
        <f t="shared" si="5"/>
        <v>0</v>
      </c>
      <c r="F38" s="354"/>
      <c r="G38" s="343"/>
      <c r="H38" s="338">
        <v>0</v>
      </c>
      <c r="I38" s="685">
        <f t="shared" si="6"/>
        <v>0</v>
      </c>
      <c r="J38" s="685">
        <f t="shared" si="8"/>
        <v>0</v>
      </c>
      <c r="K38" s="324">
        <f t="shared" si="9"/>
        <v>0</v>
      </c>
      <c r="L38" s="338">
        <v>0</v>
      </c>
      <c r="M38" s="685">
        <f t="shared" si="7"/>
        <v>0</v>
      </c>
      <c r="N38" s="685">
        <f t="shared" si="10"/>
        <v>0</v>
      </c>
      <c r="O38" s="324">
        <f t="shared" si="11"/>
        <v>0</v>
      </c>
      <c r="P38" s="2"/>
      <c r="Q38" s="4"/>
      <c r="R38" s="2"/>
      <c r="S38" s="2"/>
    </row>
    <row r="39" spans="1:19" s="311" customFormat="1">
      <c r="A39" s="343">
        <f t="shared" si="2"/>
        <v>29</v>
      </c>
      <c r="B39" s="285">
        <f>'P1-Trans Plant'!B38</f>
        <v>45536</v>
      </c>
      <c r="C39" s="322">
        <f t="shared" si="3"/>
        <v>0</v>
      </c>
      <c r="D39" s="322">
        <f t="shared" si="4"/>
        <v>0</v>
      </c>
      <c r="E39" s="322">
        <f t="shared" si="5"/>
        <v>0</v>
      </c>
      <c r="F39" s="354"/>
      <c r="G39" s="343"/>
      <c r="H39" s="338">
        <v>0</v>
      </c>
      <c r="I39" s="685">
        <f t="shared" si="6"/>
        <v>0</v>
      </c>
      <c r="J39" s="685">
        <f t="shared" si="8"/>
        <v>0</v>
      </c>
      <c r="K39" s="324">
        <f t="shared" si="9"/>
        <v>0</v>
      </c>
      <c r="L39" s="338">
        <v>0</v>
      </c>
      <c r="M39" s="685">
        <f t="shared" si="7"/>
        <v>0</v>
      </c>
      <c r="N39" s="685">
        <f t="shared" si="10"/>
        <v>0</v>
      </c>
      <c r="O39" s="324">
        <f t="shared" si="11"/>
        <v>0</v>
      </c>
      <c r="P39" s="2"/>
      <c r="Q39" s="4"/>
      <c r="R39" s="2"/>
      <c r="S39" s="2"/>
    </row>
    <row r="40" spans="1:19" s="311" customFormat="1">
      <c r="A40" s="343">
        <f t="shared" si="2"/>
        <v>30</v>
      </c>
      <c r="B40" s="285">
        <f>'P1-Trans Plant'!B39</f>
        <v>45566</v>
      </c>
      <c r="C40" s="322">
        <f t="shared" si="3"/>
        <v>0</v>
      </c>
      <c r="D40" s="322">
        <f t="shared" si="4"/>
        <v>0</v>
      </c>
      <c r="E40" s="322">
        <f t="shared" si="5"/>
        <v>0</v>
      </c>
      <c r="F40" s="354"/>
      <c r="G40" s="343"/>
      <c r="H40" s="338">
        <v>0</v>
      </c>
      <c r="I40" s="685">
        <f t="shared" si="6"/>
        <v>0</v>
      </c>
      <c r="J40" s="685">
        <f t="shared" si="8"/>
        <v>0</v>
      </c>
      <c r="K40" s="324">
        <f t="shared" si="9"/>
        <v>0</v>
      </c>
      <c r="L40" s="338">
        <v>0</v>
      </c>
      <c r="M40" s="685">
        <f t="shared" si="7"/>
        <v>0</v>
      </c>
      <c r="N40" s="685">
        <f t="shared" si="10"/>
        <v>0</v>
      </c>
      <c r="O40" s="324">
        <f t="shared" si="11"/>
        <v>0</v>
      </c>
      <c r="P40" s="2"/>
      <c r="Q40" s="4"/>
      <c r="R40" s="2"/>
      <c r="S40" s="2"/>
    </row>
    <row r="41" spans="1:19" s="311" customFormat="1">
      <c r="A41" s="343">
        <f t="shared" si="2"/>
        <v>31</v>
      </c>
      <c r="B41" s="285">
        <f>'P1-Trans Plant'!B40</f>
        <v>45597</v>
      </c>
      <c r="C41" s="322">
        <f t="shared" si="3"/>
        <v>0</v>
      </c>
      <c r="D41" s="322">
        <f t="shared" si="4"/>
        <v>0</v>
      </c>
      <c r="E41" s="322">
        <f t="shared" si="5"/>
        <v>0</v>
      </c>
      <c r="F41" s="354"/>
      <c r="G41" s="343"/>
      <c r="H41" s="338">
        <v>0</v>
      </c>
      <c r="I41" s="685">
        <f t="shared" si="6"/>
        <v>0</v>
      </c>
      <c r="J41" s="685">
        <f t="shared" si="8"/>
        <v>0</v>
      </c>
      <c r="K41" s="324">
        <f t="shared" si="9"/>
        <v>0</v>
      </c>
      <c r="L41" s="338">
        <v>0</v>
      </c>
      <c r="M41" s="685">
        <f t="shared" si="7"/>
        <v>0</v>
      </c>
      <c r="N41" s="685">
        <f t="shared" si="10"/>
        <v>0</v>
      </c>
      <c r="O41" s="324">
        <f t="shared" si="11"/>
        <v>0</v>
      </c>
      <c r="P41" s="2"/>
      <c r="Q41" s="4"/>
      <c r="R41" s="2"/>
      <c r="S41" s="2"/>
    </row>
    <row r="42" spans="1:19" s="311" customFormat="1">
      <c r="A42" s="343">
        <f t="shared" si="2"/>
        <v>32</v>
      </c>
      <c r="B42" s="285">
        <f>'P1-Trans Plant'!B41</f>
        <v>45627</v>
      </c>
      <c r="C42" s="322">
        <f t="shared" si="3"/>
        <v>0</v>
      </c>
      <c r="D42" s="322">
        <f t="shared" si="4"/>
        <v>0</v>
      </c>
      <c r="E42" s="322">
        <f t="shared" si="5"/>
        <v>0</v>
      </c>
      <c r="F42" s="354"/>
      <c r="G42" s="343"/>
      <c r="H42" s="338">
        <v>0</v>
      </c>
      <c r="I42" s="685">
        <f t="shared" si="6"/>
        <v>0</v>
      </c>
      <c r="J42" s="685">
        <f t="shared" si="8"/>
        <v>0</v>
      </c>
      <c r="K42" s="324">
        <f t="shared" si="9"/>
        <v>0</v>
      </c>
      <c r="L42" s="338">
        <v>0</v>
      </c>
      <c r="M42" s="685">
        <f t="shared" si="7"/>
        <v>0</v>
      </c>
      <c r="N42" s="685">
        <f t="shared" si="10"/>
        <v>0</v>
      </c>
      <c r="O42" s="324">
        <f t="shared" si="11"/>
        <v>0</v>
      </c>
      <c r="P42" s="2"/>
      <c r="Q42" s="4"/>
      <c r="R42" s="2"/>
      <c r="S42" s="2"/>
    </row>
    <row r="43" spans="1:19" s="311" customFormat="1">
      <c r="A43" s="343"/>
      <c r="B43" s="343"/>
      <c r="G43" s="343"/>
      <c r="H43" s="358"/>
      <c r="I43" s="330"/>
      <c r="J43" s="330"/>
      <c r="K43" s="361"/>
      <c r="L43" s="363"/>
      <c r="M43" s="330"/>
      <c r="N43" s="330"/>
      <c r="O43" s="364"/>
      <c r="P43" s="2"/>
      <c r="Q43" s="4"/>
      <c r="R43" s="2"/>
      <c r="S43" s="2"/>
    </row>
    <row r="44" spans="1:19" s="311" customFormat="1">
      <c r="A44" s="343">
        <v>33</v>
      </c>
      <c r="B44" s="279" t="s">
        <v>488</v>
      </c>
      <c r="C44" s="286"/>
      <c r="D44" s="289">
        <f>SUM(D31:D42)</f>
        <v>0</v>
      </c>
      <c r="E44" s="286"/>
      <c r="G44" s="343"/>
      <c r="H44" s="357"/>
      <c r="I44" s="289">
        <f>SUM(I31:I42)</f>
        <v>0</v>
      </c>
      <c r="J44" s="287"/>
      <c r="K44" s="361"/>
      <c r="L44" s="357"/>
      <c r="M44" s="289">
        <f>SUM(M31:M42)</f>
        <v>0</v>
      </c>
      <c r="N44" s="287"/>
      <c r="O44" s="364"/>
      <c r="P44" s="2"/>
      <c r="Q44" s="4"/>
      <c r="R44" s="2"/>
      <c r="S44" s="2"/>
    </row>
    <row r="45" spans="1:19" s="311" customFormat="1">
      <c r="A45" s="343">
        <v>34</v>
      </c>
      <c r="B45" s="279" t="s">
        <v>489</v>
      </c>
      <c r="C45" s="286">
        <f>SUM(C30:C42)/13</f>
        <v>0</v>
      </c>
      <c r="D45" s="291"/>
      <c r="E45" s="286">
        <f>SUM(E30:E42)/13</f>
        <v>0</v>
      </c>
      <c r="G45" s="343"/>
      <c r="H45" s="357">
        <f>SUM(H30:H42)/13</f>
        <v>0</v>
      </c>
      <c r="I45" s="291"/>
      <c r="J45" s="287">
        <f>SUM(J30:J42)/13</f>
        <v>0</v>
      </c>
      <c r="K45" s="288">
        <f>SUM(K30:K42)/13</f>
        <v>0</v>
      </c>
      <c r="L45" s="357">
        <f>SUM(L30:L42)/13</f>
        <v>0</v>
      </c>
      <c r="M45" s="291"/>
      <c r="N45" s="287">
        <f>SUM(N30:N42)/13</f>
        <v>0</v>
      </c>
      <c r="O45" s="288">
        <f>SUM(O30:O42)/13</f>
        <v>0</v>
      </c>
      <c r="P45" s="2"/>
      <c r="Q45" s="4"/>
      <c r="R45" s="2"/>
      <c r="S45" s="2"/>
    </row>
    <row r="46" spans="1:19" s="311" customFormat="1" ht="15.75" thickBot="1">
      <c r="A46" s="320"/>
      <c r="B46" s="279"/>
      <c r="G46" s="343"/>
      <c r="H46" s="358"/>
      <c r="I46" s="330"/>
      <c r="J46" s="330"/>
      <c r="K46" s="361"/>
      <c r="L46" s="363"/>
      <c r="M46" s="330"/>
      <c r="N46" s="330"/>
      <c r="O46" s="364"/>
      <c r="P46" s="2"/>
      <c r="Q46" s="4"/>
      <c r="R46" s="2"/>
      <c r="S46" s="2"/>
    </row>
    <row r="47" spans="1:19" s="311" customFormat="1" ht="15.75" thickBot="1">
      <c r="A47" s="343">
        <v>35</v>
      </c>
      <c r="B47" s="279" t="s">
        <v>723</v>
      </c>
      <c r="F47" s="365">
        <f>O47+K47</f>
        <v>0</v>
      </c>
      <c r="G47" s="343"/>
      <c r="H47" s="358"/>
      <c r="I47" s="330"/>
      <c r="J47" s="279"/>
      <c r="K47" s="314">
        <f>ROUND(K45*I11,2)</f>
        <v>0</v>
      </c>
      <c r="L47" s="363"/>
      <c r="M47" s="330"/>
      <c r="N47" s="279"/>
      <c r="O47" s="314">
        <f>ROUND(O45*M11,2)</f>
        <v>0</v>
      </c>
      <c r="P47" s="2"/>
      <c r="Q47" s="4"/>
      <c r="R47" s="2"/>
      <c r="S47" s="2"/>
    </row>
    <row r="48" spans="1:19" s="311" customFormat="1">
      <c r="A48" s="343"/>
      <c r="F48" s="311" t="s">
        <v>948</v>
      </c>
      <c r="G48" s="343"/>
      <c r="H48" s="730"/>
      <c r="J48" s="279"/>
      <c r="K48" s="731" t="s">
        <v>948</v>
      </c>
      <c r="L48" s="732"/>
      <c r="N48" s="279"/>
      <c r="O48" s="733" t="s">
        <v>948</v>
      </c>
      <c r="P48" s="2"/>
      <c r="Q48" s="4"/>
      <c r="R48" s="2"/>
      <c r="S48" s="2"/>
    </row>
    <row r="49" spans="1:19" s="311" customFormat="1">
      <c r="A49" s="320"/>
      <c r="B49" s="343"/>
      <c r="G49" s="343"/>
      <c r="H49" s="325"/>
      <c r="I49" s="326"/>
      <c r="J49" s="326"/>
      <c r="K49" s="362"/>
      <c r="L49" s="327"/>
      <c r="M49" s="326"/>
      <c r="N49" s="326"/>
      <c r="O49" s="329"/>
      <c r="P49" s="2"/>
      <c r="Q49" s="4"/>
      <c r="R49" s="2"/>
      <c r="S49" s="2"/>
    </row>
    <row r="50" spans="1:19" s="311" customFormat="1">
      <c r="A50" s="345" t="s">
        <v>174</v>
      </c>
      <c r="B50" s="343"/>
      <c r="G50" s="343"/>
      <c r="H50" s="330"/>
      <c r="I50" s="330"/>
      <c r="J50" s="330"/>
      <c r="K50" s="330"/>
      <c r="L50" s="331"/>
      <c r="M50" s="330"/>
      <c r="N50" s="330"/>
      <c r="O50" s="332"/>
      <c r="P50" s="2"/>
      <c r="Q50" s="4"/>
      <c r="R50" s="2"/>
      <c r="S50" s="2"/>
    </row>
    <row r="51" spans="1:19" s="311" customFormat="1">
      <c r="A51" s="320" t="s">
        <v>79</v>
      </c>
      <c r="B51" s="344" t="s">
        <v>698</v>
      </c>
      <c r="G51" s="343"/>
      <c r="H51" s="330"/>
      <c r="I51" s="330"/>
      <c r="J51" s="330"/>
      <c r="K51" s="330"/>
      <c r="L51" s="331"/>
      <c r="M51" s="330"/>
      <c r="N51" s="330"/>
      <c r="O51" s="332"/>
      <c r="P51" s="2"/>
      <c r="Q51" s="4"/>
      <c r="R51" s="2"/>
      <c r="S51" s="2"/>
    </row>
    <row r="52" spans="1:19" s="16" customFormat="1" ht="15" customHeight="1">
      <c r="A52" s="320" t="s">
        <v>80</v>
      </c>
      <c r="B52" s="344" t="s">
        <v>699</v>
      </c>
      <c r="C52" s="46"/>
      <c r="D52" s="46"/>
      <c r="E52" s="46"/>
      <c r="F52" s="46"/>
      <c r="G52" s="342"/>
      <c r="H52" s="2"/>
      <c r="I52" s="2"/>
      <c r="J52" s="2"/>
      <c r="P52" s="2"/>
      <c r="Q52" s="4"/>
      <c r="R52" s="2"/>
      <c r="S52" s="2"/>
    </row>
    <row r="53" spans="1:19" s="16" customFormat="1" ht="15" customHeight="1">
      <c r="A53" s="320" t="s">
        <v>81</v>
      </c>
      <c r="B53" s="344" t="s">
        <v>950</v>
      </c>
      <c r="C53" s="46"/>
      <c r="D53" s="46"/>
      <c r="E53" s="46"/>
      <c r="F53" s="46"/>
      <c r="G53" s="342"/>
      <c r="H53" s="2"/>
      <c r="I53" s="2"/>
      <c r="J53" s="2"/>
      <c r="P53" s="2"/>
      <c r="Q53" s="4"/>
      <c r="R53" s="2"/>
      <c r="S53" s="2"/>
    </row>
    <row r="54" spans="1:19" ht="15" customHeight="1">
      <c r="A54" s="320" t="s">
        <v>82</v>
      </c>
      <c r="B54" s="344" t="s">
        <v>1127</v>
      </c>
      <c r="C54" s="46"/>
      <c r="D54" s="46"/>
      <c r="E54" s="46"/>
      <c r="F54" s="46"/>
      <c r="G54" s="342"/>
    </row>
    <row r="55" spans="1:19" ht="15" customHeight="1">
      <c r="A55" s="44"/>
      <c r="B55" s="45"/>
      <c r="C55" s="46"/>
      <c r="D55" s="46"/>
      <c r="E55" s="46"/>
      <c r="F55" s="46"/>
      <c r="G55" s="342"/>
    </row>
    <row r="56" spans="1:19" ht="15" customHeight="1">
      <c r="A56" s="44"/>
      <c r="B56" s="45"/>
      <c r="C56" s="46"/>
      <c r="D56" s="46"/>
      <c r="E56" s="46"/>
      <c r="F56" s="46"/>
      <c r="G56" s="342"/>
    </row>
    <row r="57" spans="1:19" ht="15" customHeight="1">
      <c r="A57" s="44"/>
      <c r="B57" s="45"/>
      <c r="C57" s="46"/>
      <c r="D57" s="46"/>
      <c r="E57" s="46"/>
      <c r="F57" s="46"/>
      <c r="G57" s="342"/>
    </row>
    <row r="58" spans="1:19" ht="15" customHeight="1">
      <c r="A58" s="44"/>
      <c r="B58" s="45"/>
      <c r="C58" s="46"/>
      <c r="D58" s="46"/>
      <c r="E58" s="46"/>
      <c r="F58" s="46"/>
      <c r="G58" s="342"/>
    </row>
    <row r="59" spans="1:19" ht="15" customHeight="1">
      <c r="A59" s="44"/>
      <c r="B59" s="45"/>
      <c r="C59" s="46"/>
      <c r="D59" s="46"/>
      <c r="E59" s="46"/>
      <c r="F59" s="46"/>
      <c r="G59" s="342"/>
    </row>
    <row r="60" spans="1:19">
      <c r="A60" s="44"/>
      <c r="B60" s="45"/>
      <c r="C60" s="46"/>
      <c r="D60" s="46"/>
      <c r="E60" s="46"/>
      <c r="F60" s="46"/>
      <c r="G60" s="342"/>
    </row>
    <row r="61" spans="1:19">
      <c r="A61" s="44"/>
      <c r="B61" s="45"/>
      <c r="C61" s="46"/>
      <c r="D61" s="46"/>
      <c r="E61" s="46"/>
      <c r="F61" s="46"/>
      <c r="G61" s="342"/>
    </row>
    <row r="62" spans="1:19">
      <c r="A62" s="44"/>
      <c r="B62" s="45"/>
      <c r="C62" s="46"/>
      <c r="D62" s="46"/>
      <c r="E62" s="46"/>
      <c r="F62" s="46"/>
      <c r="G62" s="342"/>
    </row>
    <row r="63" spans="1:19">
      <c r="A63" s="44"/>
      <c r="B63" s="45"/>
      <c r="C63" s="46"/>
      <c r="D63" s="46"/>
      <c r="E63" s="46"/>
      <c r="F63" s="46"/>
      <c r="G63" s="342"/>
    </row>
    <row r="64" spans="1:19">
      <c r="A64" s="44"/>
      <c r="B64" s="45"/>
      <c r="C64" s="46"/>
      <c r="D64" s="46"/>
      <c r="E64" s="46"/>
      <c r="F64" s="46"/>
      <c r="G64" s="342"/>
    </row>
    <row r="65" spans="1:7">
      <c r="A65" s="44"/>
      <c r="B65" s="45"/>
      <c r="C65" s="46"/>
      <c r="D65" s="46"/>
      <c r="E65" s="46"/>
      <c r="F65" s="46"/>
      <c r="G65" s="342"/>
    </row>
    <row r="66" spans="1:7">
      <c r="A66" s="44"/>
      <c r="B66" s="45"/>
      <c r="C66" s="46"/>
      <c r="D66" s="46"/>
      <c r="E66" s="46"/>
      <c r="F66" s="46"/>
      <c r="G66" s="342"/>
    </row>
    <row r="67" spans="1:7">
      <c r="A67" s="44"/>
      <c r="B67" s="45"/>
      <c r="C67" s="46"/>
      <c r="D67" s="46"/>
      <c r="E67" s="46"/>
      <c r="F67" s="46"/>
      <c r="G67" s="342"/>
    </row>
    <row r="68" spans="1:7">
      <c r="A68" s="44"/>
      <c r="B68" s="45"/>
      <c r="C68" s="46"/>
      <c r="D68" s="46"/>
      <c r="E68" s="46"/>
      <c r="F68" s="46"/>
      <c r="G68" s="342"/>
    </row>
    <row r="69" spans="1:7">
      <c r="A69" s="44"/>
      <c r="B69" s="45"/>
      <c r="C69" s="46"/>
      <c r="D69" s="46"/>
      <c r="E69" s="46"/>
      <c r="F69" s="46"/>
      <c r="G69" s="342"/>
    </row>
    <row r="70" spans="1:7">
      <c r="A70" s="44"/>
      <c r="B70" s="45"/>
      <c r="C70" s="46"/>
      <c r="D70" s="46"/>
      <c r="E70" s="46"/>
      <c r="F70" s="46"/>
      <c r="G70" s="342"/>
    </row>
    <row r="93" spans="11:12">
      <c r="K93" s="3"/>
    </row>
    <row r="94" spans="11:12">
      <c r="K94" s="3"/>
      <c r="L94" s="6"/>
    </row>
    <row r="95" spans="11:12">
      <c r="K95" s="3"/>
    </row>
    <row r="98" spans="1:17" ht="102" customHeight="1"/>
    <row r="99" spans="1:17" s="16" customFormat="1">
      <c r="A99" s="1"/>
      <c r="B99" s="27"/>
      <c r="C99" s="2"/>
      <c r="D99" s="2"/>
      <c r="E99" s="2"/>
      <c r="F99" s="2"/>
      <c r="G99" s="27"/>
      <c r="H99" s="2"/>
      <c r="I99" s="2"/>
      <c r="J99" s="2"/>
      <c r="Q99" s="15"/>
    </row>
    <row r="100" spans="1:17" s="16" customFormat="1" ht="63.75" customHeight="1">
      <c r="A100" s="1"/>
      <c r="B100" s="27"/>
      <c r="C100" s="2"/>
      <c r="D100" s="2"/>
      <c r="E100" s="2"/>
      <c r="F100" s="2"/>
      <c r="G100" s="27"/>
      <c r="H100" s="2"/>
      <c r="I100" s="2"/>
      <c r="J100" s="2"/>
      <c r="Q100" s="15"/>
    </row>
    <row r="116" spans="1:17" s="16" customFormat="1">
      <c r="A116" s="1"/>
      <c r="B116" s="27"/>
      <c r="C116" s="2"/>
      <c r="D116" s="2"/>
      <c r="E116" s="2"/>
      <c r="F116" s="2"/>
      <c r="G116" s="27"/>
      <c r="H116" s="2"/>
      <c r="I116" s="2"/>
      <c r="J116" s="2"/>
      <c r="K116" s="2"/>
      <c r="Q116" s="15"/>
    </row>
    <row r="117" spans="1:17" s="16" customFormat="1">
      <c r="A117" s="1"/>
      <c r="B117" s="27"/>
      <c r="C117" s="2"/>
      <c r="D117" s="2"/>
      <c r="E117" s="2"/>
      <c r="F117" s="2"/>
      <c r="G117" s="27"/>
      <c r="H117" s="2"/>
      <c r="I117" s="2"/>
      <c r="J117" s="2"/>
      <c r="K117" s="2"/>
      <c r="L117" s="2"/>
      <c r="Q117" s="15"/>
    </row>
    <row r="118" spans="1:17" s="16" customFormat="1">
      <c r="A118" s="1"/>
      <c r="B118" s="27"/>
      <c r="C118" s="2"/>
      <c r="D118" s="2"/>
      <c r="E118" s="2"/>
      <c r="F118" s="2"/>
      <c r="G118" s="27"/>
      <c r="H118" s="2"/>
      <c r="I118" s="2"/>
      <c r="J118" s="2"/>
      <c r="K118" s="2"/>
      <c r="L118" s="2"/>
      <c r="Q118" s="15"/>
    </row>
    <row r="119" spans="1:17" s="16" customFormat="1" ht="82.5" customHeight="1">
      <c r="A119" s="1"/>
      <c r="B119" s="27"/>
      <c r="C119" s="2"/>
      <c r="D119" s="2"/>
      <c r="E119" s="2"/>
      <c r="F119" s="2"/>
      <c r="G119" s="27"/>
      <c r="H119" s="2"/>
      <c r="I119" s="2"/>
      <c r="J119" s="2"/>
      <c r="K119" s="29"/>
      <c r="L119" s="29"/>
      <c r="Q119" s="15"/>
    </row>
    <row r="120" spans="1:17" s="16" customFormat="1">
      <c r="A120" s="1"/>
      <c r="B120" s="27"/>
      <c r="C120" s="2"/>
      <c r="D120" s="2"/>
      <c r="E120" s="2"/>
      <c r="F120" s="2"/>
      <c r="G120" s="27"/>
      <c r="H120" s="2"/>
      <c r="I120" s="2"/>
      <c r="J120" s="2"/>
      <c r="K120" s="2"/>
      <c r="L120" s="2"/>
      <c r="Q120" s="15"/>
    </row>
    <row r="121" spans="1:17" s="16" customFormat="1">
      <c r="A121" s="1"/>
      <c r="B121" s="27"/>
      <c r="C121" s="2"/>
      <c r="D121" s="2"/>
      <c r="E121" s="2"/>
      <c r="F121" s="2"/>
      <c r="G121" s="27"/>
      <c r="H121" s="2"/>
      <c r="I121" s="2"/>
      <c r="J121" s="2"/>
      <c r="K121" s="2"/>
      <c r="L121" s="2"/>
      <c r="Q121" s="15"/>
    </row>
    <row r="122" spans="1:17" s="16" customFormat="1">
      <c r="A122" s="1"/>
      <c r="B122" s="27"/>
      <c r="C122" s="2"/>
      <c r="D122" s="2"/>
      <c r="E122" s="2"/>
      <c r="F122" s="2"/>
      <c r="G122" s="27"/>
      <c r="H122" s="2"/>
      <c r="I122" s="2"/>
      <c r="J122" s="2"/>
      <c r="K122" s="2"/>
      <c r="L122" s="2"/>
      <c r="Q122" s="15"/>
    </row>
    <row r="123" spans="1:17" s="16" customFormat="1">
      <c r="A123" s="1"/>
      <c r="B123" s="27"/>
      <c r="C123" s="2"/>
      <c r="D123" s="2"/>
      <c r="E123" s="2"/>
      <c r="F123" s="2"/>
      <c r="G123" s="27"/>
      <c r="H123" s="2"/>
      <c r="I123" s="2"/>
      <c r="J123" s="2"/>
      <c r="K123" s="2"/>
      <c r="L123" s="2"/>
      <c r="Q123" s="15"/>
    </row>
    <row r="124" spans="1:17" s="16" customFormat="1">
      <c r="A124" s="1"/>
      <c r="B124" s="27"/>
      <c r="C124" s="2"/>
      <c r="D124" s="2"/>
      <c r="E124" s="2"/>
      <c r="F124" s="2"/>
      <c r="G124" s="27"/>
      <c r="H124" s="2"/>
      <c r="I124" s="2"/>
      <c r="J124" s="2"/>
      <c r="K124" s="2"/>
      <c r="L124" s="2"/>
      <c r="Q124" s="15"/>
    </row>
    <row r="125" spans="1:17" s="16" customFormat="1">
      <c r="A125" s="1"/>
      <c r="B125" s="27"/>
      <c r="C125" s="2"/>
      <c r="D125" s="2"/>
      <c r="E125" s="2"/>
      <c r="F125" s="2"/>
      <c r="G125" s="27"/>
      <c r="H125" s="2"/>
      <c r="I125" s="2"/>
      <c r="J125" s="2"/>
      <c r="K125" s="2"/>
      <c r="L125" s="2"/>
      <c r="Q125" s="15"/>
    </row>
    <row r="126" spans="1:17" s="16" customFormat="1">
      <c r="A126" s="1"/>
      <c r="B126" s="27"/>
      <c r="C126" s="2"/>
      <c r="D126" s="2"/>
      <c r="E126" s="2"/>
      <c r="F126" s="2"/>
      <c r="G126" s="27"/>
      <c r="H126" s="2"/>
      <c r="I126" s="2"/>
      <c r="J126" s="2"/>
      <c r="K126" s="2"/>
      <c r="Q126" s="15"/>
    </row>
    <row r="127" spans="1:17" s="16" customFormat="1">
      <c r="A127" s="1"/>
      <c r="B127" s="27"/>
      <c r="C127" s="2"/>
      <c r="D127" s="2"/>
      <c r="E127" s="2"/>
      <c r="F127" s="2"/>
      <c r="G127" s="27"/>
      <c r="H127" s="2"/>
      <c r="I127" s="2"/>
      <c r="J127" s="2"/>
      <c r="K127" s="2"/>
      <c r="Q127" s="15"/>
    </row>
    <row r="129" spans="11:15" ht="15" customHeight="1">
      <c r="K129" s="304"/>
    </row>
    <row r="130" spans="11:15" ht="15" customHeight="1">
      <c r="K130" s="304"/>
      <c r="L130" s="6"/>
    </row>
    <row r="131" spans="11:15" ht="30.75" customHeight="1">
      <c r="K131" s="47"/>
    </row>
    <row r="132" spans="11:15">
      <c r="K132" s="47"/>
    </row>
    <row r="133" spans="11:15">
      <c r="K133" s="48"/>
      <c r="L133" s="48"/>
      <c r="M133" s="48"/>
      <c r="N133" s="48"/>
    </row>
    <row r="135" spans="11:15" ht="30.75" customHeight="1">
      <c r="K135" s="305"/>
      <c r="L135" s="305"/>
      <c r="M135" s="305"/>
      <c r="N135" s="305"/>
      <c r="O135" s="305"/>
    </row>
    <row r="136" spans="11:15" ht="15" customHeight="1">
      <c r="K136" s="305"/>
    </row>
    <row r="137" spans="11:15" ht="82.5" customHeight="1">
      <c r="K137" s="305"/>
      <c r="L137" s="305"/>
      <c r="M137" s="305"/>
      <c r="N137" s="305"/>
      <c r="O137" s="305"/>
    </row>
    <row r="138" spans="11:15" ht="15" customHeight="1">
      <c r="K138" s="50"/>
    </row>
    <row r="139" spans="11:15">
      <c r="K139" s="50"/>
    </row>
    <row r="140" spans="11:15" ht="69.75" customHeight="1">
      <c r="K140" s="50"/>
    </row>
  </sheetData>
  <mergeCells count="8">
    <mergeCell ref="C13:F13"/>
    <mergeCell ref="A1:O1"/>
    <mergeCell ref="A2:O2"/>
    <mergeCell ref="A3:O3"/>
    <mergeCell ref="C14:F14"/>
    <mergeCell ref="C7:F7"/>
    <mergeCell ref="C9:F9"/>
    <mergeCell ref="C11:F11"/>
  </mergeCells>
  <pageMargins left="0.5" right="0.25" top="1" bottom="1" header="0.5" footer="0.5"/>
  <pageSetup scale="63" orientation="landscape" r:id="rId1"/>
  <headerFooter alignWithMargins="0"/>
  <ignoredErrors>
    <ignoredError sqref="H45:J45 L45:N45"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pageSetUpPr fitToPage="1"/>
  </sheetPr>
  <dimension ref="A1:P177"/>
  <sheetViews>
    <sheetView workbookViewId="0">
      <selection activeCell="A177" sqref="A177"/>
    </sheetView>
  </sheetViews>
  <sheetFormatPr defaultColWidth="8.77734375" defaultRowHeight="12.75"/>
  <cols>
    <col min="1" max="1" width="5.21875" style="609" customWidth="1"/>
    <col min="2" max="2" width="9.109375" style="609" customWidth="1"/>
    <col min="3" max="4" width="7.5546875" style="609" customWidth="1"/>
    <col min="5" max="5" width="8.77734375" style="609" customWidth="1"/>
    <col min="6" max="6" width="7.5546875" style="609" customWidth="1"/>
    <col min="7" max="7" width="2.109375" style="609" customWidth="1"/>
    <col min="8" max="9" width="11.44140625" style="609" customWidth="1"/>
    <col min="10" max="10" width="13.44140625" style="609" customWidth="1"/>
    <col min="11" max="11" width="1.44140625" style="611" customWidth="1"/>
    <col min="12" max="13" width="10.21875" style="609" bestFit="1" customWidth="1"/>
    <col min="14" max="14" width="10.77734375" style="609" bestFit="1" customWidth="1"/>
    <col min="15" max="16384" width="8.77734375" style="609"/>
  </cols>
  <sheetData>
    <row r="1" spans="1:11" s="608" customFormat="1">
      <c r="A1" s="784" t="s">
        <v>860</v>
      </c>
      <c r="B1" s="784"/>
      <c r="C1" s="784"/>
      <c r="D1" s="784"/>
      <c r="E1" s="784"/>
      <c r="F1" s="784"/>
      <c r="G1" s="784"/>
      <c r="H1" s="784"/>
      <c r="I1" s="784"/>
      <c r="J1" s="784"/>
      <c r="K1" s="784"/>
    </row>
    <row r="2" spans="1:11" s="608" customFormat="1">
      <c r="A2" s="784" t="s">
        <v>204</v>
      </c>
      <c r="B2" s="784"/>
      <c r="C2" s="784"/>
      <c r="D2" s="784"/>
      <c r="E2" s="784"/>
      <c r="F2" s="784"/>
      <c r="G2" s="784"/>
      <c r="H2" s="784"/>
      <c r="I2" s="784"/>
      <c r="J2" s="784"/>
      <c r="K2" s="784"/>
    </row>
    <row r="3" spans="1:11" s="608" customFormat="1">
      <c r="A3" s="785" t="s">
        <v>130</v>
      </c>
      <c r="B3" s="785"/>
      <c r="C3" s="785"/>
      <c r="D3" s="785"/>
      <c r="E3" s="785"/>
      <c r="F3" s="785"/>
      <c r="G3" s="785"/>
      <c r="H3" s="785"/>
      <c r="I3" s="785"/>
      <c r="J3" s="785"/>
      <c r="K3" s="785"/>
    </row>
    <row r="4" spans="1:11" s="608" customFormat="1">
      <c r="A4" s="607"/>
      <c r="B4" s="607"/>
      <c r="C4" s="607"/>
      <c r="D4" s="607"/>
      <c r="E4" s="607"/>
      <c r="F4" s="607"/>
      <c r="G4" s="607"/>
      <c r="H4" s="607"/>
      <c r="I4" s="607"/>
      <c r="J4" s="558" t="s">
        <v>983</v>
      </c>
    </row>
    <row r="5" spans="1:11">
      <c r="I5" s="610" t="s">
        <v>834</v>
      </c>
      <c r="J5" s="747">
        <v>2024</v>
      </c>
    </row>
    <row r="6" spans="1:11">
      <c r="A6" s="609">
        <v>1</v>
      </c>
      <c r="B6" s="612" t="s">
        <v>835</v>
      </c>
      <c r="H6" s="613"/>
      <c r="I6" s="613"/>
      <c r="J6" s="613"/>
      <c r="K6" s="614"/>
    </row>
    <row r="7" spans="1:11">
      <c r="A7" s="609">
        <f>+A6+1</f>
        <v>2</v>
      </c>
      <c r="B7" s="828" t="s">
        <v>836</v>
      </c>
      <c r="C7" s="829"/>
      <c r="D7" s="829"/>
      <c r="E7" s="829"/>
      <c r="F7" s="830"/>
      <c r="G7" s="615"/>
      <c r="H7" s="828" t="s">
        <v>837</v>
      </c>
      <c r="I7" s="829"/>
      <c r="J7" s="830"/>
      <c r="K7" s="614"/>
    </row>
    <row r="8" spans="1:11">
      <c r="B8" s="616" t="s">
        <v>79</v>
      </c>
      <c r="C8" s="616" t="s">
        <v>80</v>
      </c>
      <c r="D8" s="616" t="s">
        <v>81</v>
      </c>
      <c r="E8" s="616" t="s">
        <v>82</v>
      </c>
      <c r="F8" s="616" t="s">
        <v>83</v>
      </c>
      <c r="G8" s="615"/>
      <c r="H8" s="616" t="s">
        <v>84</v>
      </c>
      <c r="I8" s="616" t="s">
        <v>85</v>
      </c>
      <c r="J8" s="616" t="s">
        <v>449</v>
      </c>
      <c r="K8" s="614"/>
    </row>
    <row r="9" spans="1:11" ht="51">
      <c r="A9" s="609">
        <f>+A7+1</f>
        <v>3</v>
      </c>
      <c r="B9" s="617" t="s">
        <v>268</v>
      </c>
      <c r="C9" s="617" t="s">
        <v>838</v>
      </c>
      <c r="D9" s="617" t="s">
        <v>839</v>
      </c>
      <c r="E9" s="617" t="s">
        <v>840</v>
      </c>
      <c r="F9" s="617" t="s">
        <v>841</v>
      </c>
      <c r="G9" s="618"/>
      <c r="H9" s="617" t="s">
        <v>842</v>
      </c>
      <c r="I9" s="617" t="s">
        <v>843</v>
      </c>
      <c r="J9" s="617" t="s">
        <v>844</v>
      </c>
      <c r="K9" s="618"/>
    </row>
    <row r="10" spans="1:11">
      <c r="A10" s="609">
        <f t="shared" ref="A10:A24" si="0">+A9+1</f>
        <v>4</v>
      </c>
      <c r="C10" s="618"/>
      <c r="D10" s="618"/>
      <c r="E10" s="618"/>
      <c r="F10" s="618"/>
      <c r="G10" s="618"/>
      <c r="H10" s="618"/>
      <c r="I10" s="618"/>
      <c r="J10" s="618"/>
      <c r="K10" s="618"/>
    </row>
    <row r="11" spans="1:11">
      <c r="A11" s="609">
        <f t="shared" si="0"/>
        <v>5</v>
      </c>
      <c r="B11" s="619" t="s">
        <v>845</v>
      </c>
      <c r="C11" s="620"/>
      <c r="D11" s="621"/>
      <c r="E11" s="621"/>
      <c r="F11" s="621"/>
      <c r="G11" s="621"/>
      <c r="H11" s="622"/>
      <c r="I11" s="622"/>
      <c r="J11" s="623">
        <v>0</v>
      </c>
      <c r="K11" s="624"/>
    </row>
    <row r="12" spans="1:11">
      <c r="A12" s="609">
        <f t="shared" si="0"/>
        <v>6</v>
      </c>
      <c r="B12" s="620" t="s">
        <v>165</v>
      </c>
      <c r="C12" s="625">
        <v>31</v>
      </c>
      <c r="D12" s="748">
        <v>335</v>
      </c>
      <c r="E12" s="748">
        <v>366</v>
      </c>
      <c r="F12" s="556">
        <f>IF(E12=0,0,D12/E12)</f>
        <v>0.91530054644808745</v>
      </c>
      <c r="G12" s="552"/>
      <c r="H12" s="623">
        <f>-H152*0.21</f>
        <v>-20949.039999999997</v>
      </c>
      <c r="I12" s="585">
        <f>+H12*F12</f>
        <v>-19174.667759562839</v>
      </c>
      <c r="J12" s="585">
        <f t="shared" ref="J12:J23" si="1">+I12+J11</f>
        <v>-19174.667759562839</v>
      </c>
      <c r="K12" s="624"/>
    </row>
    <row r="13" spans="1:11">
      <c r="A13" s="609">
        <f t="shared" si="0"/>
        <v>7</v>
      </c>
      <c r="B13" s="620" t="s">
        <v>166</v>
      </c>
      <c r="C13" s="626">
        <v>29</v>
      </c>
      <c r="D13" s="748">
        <v>306</v>
      </c>
      <c r="E13" s="748">
        <v>366</v>
      </c>
      <c r="F13" s="556">
        <f t="shared" ref="F13:F23" si="2">IF(E13=0,0,D13/E13)</f>
        <v>0.83606557377049184</v>
      </c>
      <c r="G13" s="552"/>
      <c r="H13" s="623">
        <f t="shared" ref="H13:H23" si="3">-H153*0.21</f>
        <v>-20949.039999999997</v>
      </c>
      <c r="I13" s="585">
        <f t="shared" ref="I13:I23" si="4">+H13*F13</f>
        <v>-17514.771147540981</v>
      </c>
      <c r="J13" s="585">
        <f t="shared" si="1"/>
        <v>-36689.438907103817</v>
      </c>
      <c r="K13" s="624"/>
    </row>
    <row r="14" spans="1:11">
      <c r="A14" s="609">
        <f t="shared" si="0"/>
        <v>8</v>
      </c>
      <c r="B14" s="620" t="s">
        <v>516</v>
      </c>
      <c r="C14" s="625">
        <v>31</v>
      </c>
      <c r="D14" s="748">
        <v>275</v>
      </c>
      <c r="E14" s="748">
        <v>366</v>
      </c>
      <c r="F14" s="556">
        <f t="shared" si="2"/>
        <v>0.75136612021857918</v>
      </c>
      <c r="G14" s="552"/>
      <c r="H14" s="623">
        <f t="shared" si="3"/>
        <v>-20949.039999999997</v>
      </c>
      <c r="I14" s="585">
        <f t="shared" si="4"/>
        <v>-15740.398907103821</v>
      </c>
      <c r="J14" s="585">
        <f t="shared" si="1"/>
        <v>-52429.83781420764</v>
      </c>
      <c r="K14" s="624"/>
    </row>
    <row r="15" spans="1:11">
      <c r="A15" s="609">
        <f t="shared" si="0"/>
        <v>9</v>
      </c>
      <c r="B15" s="620" t="s">
        <v>167</v>
      </c>
      <c r="C15" s="625">
        <v>30</v>
      </c>
      <c r="D15" s="748">
        <v>245</v>
      </c>
      <c r="E15" s="748">
        <v>366</v>
      </c>
      <c r="F15" s="556">
        <f t="shared" si="2"/>
        <v>0.6693989071038251</v>
      </c>
      <c r="G15" s="552"/>
      <c r="H15" s="623">
        <f t="shared" si="3"/>
        <v>-20949.039999999997</v>
      </c>
      <c r="I15" s="585">
        <f t="shared" si="4"/>
        <v>-14023.264480874315</v>
      </c>
      <c r="J15" s="585">
        <f t="shared" si="1"/>
        <v>-66453.102295081961</v>
      </c>
      <c r="K15" s="624"/>
    </row>
    <row r="16" spans="1:11">
      <c r="A16" s="609">
        <f t="shared" si="0"/>
        <v>10</v>
      </c>
      <c r="B16" s="620" t="s">
        <v>168</v>
      </c>
      <c r="C16" s="625">
        <v>31</v>
      </c>
      <c r="D16" s="748">
        <v>214</v>
      </c>
      <c r="E16" s="748">
        <v>366</v>
      </c>
      <c r="F16" s="556">
        <f t="shared" si="2"/>
        <v>0.58469945355191255</v>
      </c>
      <c r="G16" s="552"/>
      <c r="H16" s="623">
        <f t="shared" si="3"/>
        <v>-20949.039999999997</v>
      </c>
      <c r="I16" s="585">
        <f t="shared" si="4"/>
        <v>-12248.892240437157</v>
      </c>
      <c r="J16" s="585">
        <f t="shared" si="1"/>
        <v>-78701.994535519116</v>
      </c>
      <c r="K16" s="624"/>
    </row>
    <row r="17" spans="1:14">
      <c r="A17" s="609">
        <f t="shared" si="0"/>
        <v>11</v>
      </c>
      <c r="B17" s="620" t="s">
        <v>169</v>
      </c>
      <c r="C17" s="625">
        <v>30</v>
      </c>
      <c r="D17" s="748">
        <v>184</v>
      </c>
      <c r="E17" s="748">
        <v>366</v>
      </c>
      <c r="F17" s="556">
        <f t="shared" si="2"/>
        <v>0.50273224043715847</v>
      </c>
      <c r="G17" s="552"/>
      <c r="H17" s="623">
        <f t="shared" si="3"/>
        <v>-20949.039999999997</v>
      </c>
      <c r="I17" s="585">
        <f t="shared" si="4"/>
        <v>-10531.757814207649</v>
      </c>
      <c r="J17" s="585">
        <f t="shared" si="1"/>
        <v>-89233.752349726768</v>
      </c>
      <c r="K17" s="624"/>
    </row>
    <row r="18" spans="1:14">
      <c r="A18" s="609">
        <f t="shared" si="0"/>
        <v>12</v>
      </c>
      <c r="B18" s="620" t="s">
        <v>170</v>
      </c>
      <c r="C18" s="625">
        <v>31</v>
      </c>
      <c r="D18" s="748">
        <v>153</v>
      </c>
      <c r="E18" s="748">
        <v>366</v>
      </c>
      <c r="F18" s="556">
        <f t="shared" si="2"/>
        <v>0.41803278688524592</v>
      </c>
      <c r="G18" s="552"/>
      <c r="H18" s="623">
        <f t="shared" si="3"/>
        <v>-20949.039999999997</v>
      </c>
      <c r="I18" s="585">
        <f t="shared" si="4"/>
        <v>-8757.3855737704907</v>
      </c>
      <c r="J18" s="585">
        <f t="shared" si="1"/>
        <v>-97991.137923497256</v>
      </c>
      <c r="K18" s="624"/>
    </row>
    <row r="19" spans="1:14">
      <c r="A19" s="609">
        <f t="shared" si="0"/>
        <v>13</v>
      </c>
      <c r="B19" s="620" t="s">
        <v>517</v>
      </c>
      <c r="C19" s="625">
        <v>31</v>
      </c>
      <c r="D19" s="748">
        <v>122</v>
      </c>
      <c r="E19" s="748">
        <v>366</v>
      </c>
      <c r="F19" s="556">
        <f t="shared" si="2"/>
        <v>0.33333333333333331</v>
      </c>
      <c r="G19" s="552"/>
      <c r="H19" s="623">
        <f t="shared" si="3"/>
        <v>-20949.039999999997</v>
      </c>
      <c r="I19" s="585">
        <f t="shared" si="4"/>
        <v>-6983.0133333333324</v>
      </c>
      <c r="J19" s="585">
        <f t="shared" si="1"/>
        <v>-104974.15125683059</v>
      </c>
      <c r="K19" s="624"/>
    </row>
    <row r="20" spans="1:14">
      <c r="A20" s="609">
        <f t="shared" si="0"/>
        <v>14</v>
      </c>
      <c r="B20" s="620" t="s">
        <v>171</v>
      </c>
      <c r="C20" s="625">
        <v>30</v>
      </c>
      <c r="D20" s="748">
        <v>92</v>
      </c>
      <c r="E20" s="748">
        <v>366</v>
      </c>
      <c r="F20" s="556">
        <f t="shared" si="2"/>
        <v>0.25136612021857924</v>
      </c>
      <c r="G20" s="552"/>
      <c r="H20" s="623">
        <f t="shared" si="3"/>
        <v>-20949.039999999997</v>
      </c>
      <c r="I20" s="585">
        <f t="shared" si="4"/>
        <v>-5265.8789071038245</v>
      </c>
      <c r="J20" s="585">
        <f t="shared" si="1"/>
        <v>-110240.03016393441</v>
      </c>
      <c r="K20" s="624"/>
    </row>
    <row r="21" spans="1:14">
      <c r="A21" s="609">
        <f t="shared" si="0"/>
        <v>15</v>
      </c>
      <c r="B21" s="620" t="s">
        <v>172</v>
      </c>
      <c r="C21" s="625">
        <v>31</v>
      </c>
      <c r="D21" s="748">
        <v>61</v>
      </c>
      <c r="E21" s="748">
        <v>366</v>
      </c>
      <c r="F21" s="556">
        <f t="shared" si="2"/>
        <v>0.16666666666666666</v>
      </c>
      <c r="G21" s="552"/>
      <c r="H21" s="623">
        <f t="shared" si="3"/>
        <v>-20949.039999999997</v>
      </c>
      <c r="I21" s="585">
        <f t="shared" si="4"/>
        <v>-3491.5066666666662</v>
      </c>
      <c r="J21" s="585">
        <f t="shared" si="1"/>
        <v>-113731.53683060108</v>
      </c>
      <c r="K21" s="624"/>
    </row>
    <row r="22" spans="1:14">
      <c r="A22" s="609">
        <f t="shared" si="0"/>
        <v>16</v>
      </c>
      <c r="B22" s="620" t="s">
        <v>173</v>
      </c>
      <c r="C22" s="625">
        <v>30</v>
      </c>
      <c r="D22" s="748">
        <v>31</v>
      </c>
      <c r="E22" s="748">
        <v>366</v>
      </c>
      <c r="F22" s="556">
        <f t="shared" si="2"/>
        <v>8.4699453551912565E-2</v>
      </c>
      <c r="G22" s="552"/>
      <c r="H22" s="623">
        <f t="shared" si="3"/>
        <v>-20949.039999999997</v>
      </c>
      <c r="I22" s="585">
        <f t="shared" si="4"/>
        <v>-1774.3722404371581</v>
      </c>
      <c r="J22" s="585">
        <f t="shared" si="1"/>
        <v>-115505.90907103823</v>
      </c>
      <c r="K22" s="624"/>
    </row>
    <row r="23" spans="1:14">
      <c r="A23" s="609">
        <f t="shared" si="0"/>
        <v>17</v>
      </c>
      <c r="B23" s="620" t="s">
        <v>518</v>
      </c>
      <c r="C23" s="625">
        <v>31</v>
      </c>
      <c r="D23" s="748">
        <v>1</v>
      </c>
      <c r="E23" s="748">
        <v>366</v>
      </c>
      <c r="F23" s="556">
        <f t="shared" si="2"/>
        <v>2.7322404371584699E-3</v>
      </c>
      <c r="G23" s="552"/>
      <c r="H23" s="623">
        <f t="shared" si="3"/>
        <v>-20949.039999999997</v>
      </c>
      <c r="I23" s="585">
        <f t="shared" si="4"/>
        <v>-57.237814207650267</v>
      </c>
      <c r="J23" s="585">
        <f t="shared" si="1"/>
        <v>-115563.14688524588</v>
      </c>
      <c r="K23" s="624"/>
      <c r="L23" s="643"/>
      <c r="M23" s="645"/>
      <c r="N23" s="643"/>
    </row>
    <row r="24" spans="1:14">
      <c r="A24" s="609">
        <f t="shared" si="0"/>
        <v>18</v>
      </c>
      <c r="B24" s="627"/>
      <c r="C24" s="627" t="s">
        <v>9</v>
      </c>
      <c r="D24" s="627"/>
      <c r="E24" s="627"/>
      <c r="F24" s="628"/>
      <c r="G24" s="621"/>
      <c r="H24" s="629">
        <f>SUM(H12:H23)</f>
        <v>-251388.48</v>
      </c>
      <c r="I24" s="629">
        <f>SUM(I12:I23)</f>
        <v>-115563.14688524588</v>
      </c>
      <c r="J24" s="628"/>
      <c r="K24" s="618"/>
    </row>
    <row r="25" spans="1:14">
      <c r="B25" s="630"/>
      <c r="C25" s="630"/>
      <c r="D25" s="630"/>
      <c r="E25" s="630"/>
      <c r="F25" s="631"/>
      <c r="G25" s="631"/>
      <c r="I25" s="632"/>
      <c r="J25" s="631"/>
      <c r="K25" s="618"/>
      <c r="L25" s="643"/>
    </row>
    <row r="26" spans="1:14">
      <c r="A26" s="609">
        <f>+A24+1</f>
        <v>19</v>
      </c>
      <c r="B26" s="609" t="s">
        <v>1012</v>
      </c>
      <c r="F26" s="609" t="s">
        <v>847</v>
      </c>
      <c r="G26" s="631"/>
      <c r="I26" s="631"/>
      <c r="J26" s="644">
        <f>'A3-ADIT'!E15</f>
        <v>25144204</v>
      </c>
    </row>
    <row r="27" spans="1:14">
      <c r="A27" s="609">
        <f>+A26+1</f>
        <v>20</v>
      </c>
      <c r="B27" s="609" t="s">
        <v>1186</v>
      </c>
      <c r="F27" s="609" t="s">
        <v>1013</v>
      </c>
      <c r="G27" s="631"/>
      <c r="I27" s="631"/>
      <c r="J27" s="644">
        <f>J166*-0.21</f>
        <v>7615237.0496999994</v>
      </c>
    </row>
    <row r="28" spans="1:14">
      <c r="A28" s="609">
        <f t="shared" ref="A28" si="5">+A27+1</f>
        <v>21</v>
      </c>
      <c r="B28" s="609" t="s">
        <v>1187</v>
      </c>
      <c r="F28" s="609" t="s">
        <v>1014</v>
      </c>
      <c r="G28" s="631"/>
      <c r="I28" s="631"/>
      <c r="J28" s="644">
        <f>J26-J27</f>
        <v>17528966.950300001</v>
      </c>
    </row>
    <row r="29" spans="1:14">
      <c r="A29" s="609">
        <f>+A28+1</f>
        <v>22</v>
      </c>
      <c r="B29" s="609" t="s">
        <v>1188</v>
      </c>
      <c r="F29" s="609" t="s">
        <v>1015</v>
      </c>
      <c r="G29" s="631"/>
      <c r="I29" s="631"/>
      <c r="J29" s="644">
        <f>J27</f>
        <v>7615237.0496999994</v>
      </c>
    </row>
    <row r="30" spans="1:14">
      <c r="A30" s="609">
        <f>+A29+1</f>
        <v>23</v>
      </c>
      <c r="B30" s="609" t="s">
        <v>900</v>
      </c>
      <c r="F30" s="609" t="s">
        <v>918</v>
      </c>
      <c r="G30" s="631"/>
      <c r="I30" s="631"/>
      <c r="J30" s="623">
        <v>-318213</v>
      </c>
    </row>
    <row r="31" spans="1:14">
      <c r="A31" s="609">
        <f>+A30+1</f>
        <v>24</v>
      </c>
      <c r="B31" s="609" t="s">
        <v>1185</v>
      </c>
      <c r="F31" s="609" t="s">
        <v>1010</v>
      </c>
      <c r="G31" s="631"/>
      <c r="I31" s="631"/>
      <c r="J31" s="633">
        <f>J29+J30</f>
        <v>7297024.0496999994</v>
      </c>
    </row>
    <row r="32" spans="1:14">
      <c r="A32" s="609">
        <v>25</v>
      </c>
      <c r="B32" s="609" t="s">
        <v>851</v>
      </c>
      <c r="F32" s="609" t="s">
        <v>1011</v>
      </c>
      <c r="G32" s="631"/>
      <c r="I32" s="618"/>
      <c r="J32" s="634">
        <f>J23</f>
        <v>-115563.14688524588</v>
      </c>
    </row>
    <row r="33" spans="1:11">
      <c r="A33" s="609">
        <v>26</v>
      </c>
      <c r="B33" s="609" t="s">
        <v>1000</v>
      </c>
      <c r="F33" s="609" t="s">
        <v>996</v>
      </c>
      <c r="J33" s="645">
        <f>J31+J32</f>
        <v>7181460.9028147534</v>
      </c>
    </row>
    <row r="34" spans="1:11">
      <c r="A34" s="609">
        <v>27</v>
      </c>
      <c r="B34" s="609" t="s">
        <v>1007</v>
      </c>
      <c r="J34" s="653">
        <v>7.9579999999999998E-2</v>
      </c>
    </row>
    <row r="35" spans="1:11">
      <c r="A35" s="609">
        <v>28</v>
      </c>
      <c r="B35" s="612" t="s">
        <v>864</v>
      </c>
      <c r="J35" s="654">
        <f>J33*J34</f>
        <v>571500.6586459981</v>
      </c>
    </row>
    <row r="36" spans="1:11">
      <c r="J36" s="645"/>
    </row>
    <row r="37" spans="1:11">
      <c r="J37" s="645"/>
    </row>
    <row r="38" spans="1:11" ht="15">
      <c r="A38"/>
      <c r="B38"/>
      <c r="C38"/>
      <c r="D38"/>
      <c r="E38"/>
      <c r="F38"/>
      <c r="G38"/>
      <c r="H38"/>
      <c r="I38"/>
      <c r="J38"/>
    </row>
    <row r="39" spans="1:11">
      <c r="A39" s="827" t="str">
        <f>A1</f>
        <v>Worksheet P5</v>
      </c>
      <c r="B39" s="827"/>
      <c r="C39" s="827"/>
      <c r="D39" s="827"/>
      <c r="E39" s="827"/>
      <c r="F39" s="827"/>
      <c r="G39" s="827"/>
      <c r="H39" s="827"/>
      <c r="I39" s="827"/>
      <c r="J39" s="827"/>
      <c r="K39" s="827"/>
    </row>
    <row r="40" spans="1:11">
      <c r="A40" s="827" t="str">
        <f>A2</f>
        <v>Accumulated Deferred Income Taxes</v>
      </c>
      <c r="B40" s="827"/>
      <c r="C40" s="827"/>
      <c r="D40" s="827"/>
      <c r="E40" s="827"/>
      <c r="F40" s="827"/>
      <c r="G40" s="827"/>
      <c r="H40" s="827"/>
      <c r="I40" s="827"/>
      <c r="J40" s="827"/>
      <c r="K40" s="827"/>
    </row>
    <row r="41" spans="1:11">
      <c r="A41" s="831" t="str">
        <f>A3</f>
        <v>Cheyenne Light, Fuel &amp; Power</v>
      </c>
      <c r="B41" s="831"/>
      <c r="C41" s="831"/>
      <c r="D41" s="831"/>
      <c r="E41" s="831"/>
      <c r="F41" s="831"/>
      <c r="G41" s="831"/>
      <c r="H41" s="831"/>
      <c r="I41" s="831"/>
      <c r="J41" s="831"/>
      <c r="K41" s="831"/>
    </row>
    <row r="42" spans="1:11">
      <c r="J42" s="611" t="s">
        <v>984</v>
      </c>
    </row>
    <row r="43" spans="1:11">
      <c r="B43" s="612"/>
      <c r="J43" s="610"/>
      <c r="K43" s="636"/>
    </row>
    <row r="44" spans="1:11">
      <c r="A44" s="609">
        <f>A35+1</f>
        <v>29</v>
      </c>
      <c r="B44" s="612" t="s">
        <v>855</v>
      </c>
      <c r="H44" s="613"/>
      <c r="I44" s="613"/>
      <c r="J44" s="613"/>
    </row>
    <row r="45" spans="1:11">
      <c r="A45" s="609">
        <f>+A44+1</f>
        <v>30</v>
      </c>
      <c r="B45" s="828" t="s">
        <v>836</v>
      </c>
      <c r="C45" s="829"/>
      <c r="D45" s="829"/>
      <c r="E45" s="829"/>
      <c r="F45" s="830"/>
      <c r="G45" s="615"/>
      <c r="H45" s="828" t="s">
        <v>837</v>
      </c>
      <c r="I45" s="829"/>
      <c r="J45" s="830"/>
    </row>
    <row r="46" spans="1:11">
      <c r="B46" s="616" t="s">
        <v>79</v>
      </c>
      <c r="C46" s="616" t="s">
        <v>80</v>
      </c>
      <c r="D46" s="616" t="s">
        <v>81</v>
      </c>
      <c r="E46" s="616" t="s">
        <v>82</v>
      </c>
      <c r="F46" s="616" t="s">
        <v>83</v>
      </c>
      <c r="G46" s="615"/>
      <c r="H46" s="616" t="s">
        <v>84</v>
      </c>
      <c r="I46" s="616" t="s">
        <v>85</v>
      </c>
      <c r="J46" s="616" t="s">
        <v>449</v>
      </c>
    </row>
    <row r="47" spans="1:11" ht="51">
      <c r="A47" s="609">
        <f>+A45+1</f>
        <v>31</v>
      </c>
      <c r="B47" s="617" t="s">
        <v>268</v>
      </c>
      <c r="C47" s="617" t="s">
        <v>838</v>
      </c>
      <c r="D47" s="617" t="s">
        <v>839</v>
      </c>
      <c r="E47" s="617" t="s">
        <v>840</v>
      </c>
      <c r="F47" s="617" t="s">
        <v>841</v>
      </c>
      <c r="G47" s="618"/>
      <c r="H47" s="617" t="s">
        <v>842</v>
      </c>
      <c r="I47" s="617" t="s">
        <v>843</v>
      </c>
      <c r="J47" s="617" t="s">
        <v>844</v>
      </c>
    </row>
    <row r="48" spans="1:11">
      <c r="A48" s="609">
        <f t="shared" ref="A48:A62" si="6">+A47+1</f>
        <v>32</v>
      </c>
      <c r="C48" s="618"/>
      <c r="D48" s="618"/>
      <c r="E48" s="618"/>
      <c r="F48" s="618"/>
      <c r="G48" s="618"/>
      <c r="H48" s="618"/>
      <c r="I48" s="618"/>
      <c r="J48" s="618"/>
    </row>
    <row r="49" spans="1:11">
      <c r="A49" s="609">
        <f t="shared" si="6"/>
        <v>33</v>
      </c>
      <c r="B49" s="619" t="s">
        <v>845</v>
      </c>
      <c r="C49" s="620"/>
      <c r="D49" s="621"/>
      <c r="E49" s="621"/>
      <c r="F49" s="621"/>
      <c r="G49" s="621"/>
      <c r="H49" s="622"/>
      <c r="I49" s="622"/>
      <c r="J49" s="623">
        <v>0</v>
      </c>
      <c r="K49" s="637"/>
    </row>
    <row r="50" spans="1:11">
      <c r="A50" s="609">
        <f t="shared" si="6"/>
        <v>34</v>
      </c>
      <c r="B50" s="620" t="s">
        <v>165</v>
      </c>
      <c r="C50" s="625">
        <v>31</v>
      </c>
      <c r="D50" s="748">
        <v>0</v>
      </c>
      <c r="E50" s="748">
        <v>0</v>
      </c>
      <c r="F50" s="556">
        <f>IF(E50=0,0,D50/E50)</f>
        <v>0</v>
      </c>
      <c r="G50" s="552"/>
      <c r="H50" s="623"/>
      <c r="I50" s="553">
        <f>+H50*F50</f>
        <v>0</v>
      </c>
      <c r="J50" s="553">
        <f t="shared" ref="J50:J61" si="7">+I50+J49</f>
        <v>0</v>
      </c>
    </row>
    <row r="51" spans="1:11">
      <c r="A51" s="609">
        <f t="shared" si="6"/>
        <v>35</v>
      </c>
      <c r="B51" s="620" t="s">
        <v>166</v>
      </c>
      <c r="C51" s="626">
        <v>29</v>
      </c>
      <c r="D51" s="748">
        <v>0</v>
      </c>
      <c r="E51" s="748">
        <v>0</v>
      </c>
      <c r="F51" s="556">
        <f t="shared" ref="F51:F61" si="8">IF(E51=0,0,D51/E51)</f>
        <v>0</v>
      </c>
      <c r="G51" s="552"/>
      <c r="H51" s="623"/>
      <c r="I51" s="553">
        <f t="shared" ref="I51:I61" si="9">+H51*F51</f>
        <v>0</v>
      </c>
      <c r="J51" s="553">
        <f t="shared" si="7"/>
        <v>0</v>
      </c>
    </row>
    <row r="52" spans="1:11">
      <c r="A52" s="609">
        <f t="shared" si="6"/>
        <v>36</v>
      </c>
      <c r="B52" s="620" t="s">
        <v>516</v>
      </c>
      <c r="C52" s="625">
        <v>31</v>
      </c>
      <c r="D52" s="748">
        <v>0</v>
      </c>
      <c r="E52" s="748">
        <v>0</v>
      </c>
      <c r="F52" s="556">
        <f t="shared" si="8"/>
        <v>0</v>
      </c>
      <c r="G52" s="552"/>
      <c r="H52" s="623"/>
      <c r="I52" s="553">
        <f t="shared" si="9"/>
        <v>0</v>
      </c>
      <c r="J52" s="553">
        <f t="shared" si="7"/>
        <v>0</v>
      </c>
    </row>
    <row r="53" spans="1:11">
      <c r="A53" s="609">
        <f t="shared" si="6"/>
        <v>37</v>
      </c>
      <c r="B53" s="620" t="s">
        <v>167</v>
      </c>
      <c r="C53" s="625">
        <v>30</v>
      </c>
      <c r="D53" s="748">
        <v>0</v>
      </c>
      <c r="E53" s="748">
        <v>0</v>
      </c>
      <c r="F53" s="556">
        <f t="shared" si="8"/>
        <v>0</v>
      </c>
      <c r="G53" s="552"/>
      <c r="H53" s="623"/>
      <c r="I53" s="553">
        <f t="shared" si="9"/>
        <v>0</v>
      </c>
      <c r="J53" s="553">
        <f t="shared" si="7"/>
        <v>0</v>
      </c>
    </row>
    <row r="54" spans="1:11">
      <c r="A54" s="609">
        <f t="shared" si="6"/>
        <v>38</v>
      </c>
      <c r="B54" s="620" t="s">
        <v>168</v>
      </c>
      <c r="C54" s="625">
        <v>31</v>
      </c>
      <c r="D54" s="748">
        <v>0</v>
      </c>
      <c r="E54" s="748">
        <v>0</v>
      </c>
      <c r="F54" s="556">
        <f t="shared" si="8"/>
        <v>0</v>
      </c>
      <c r="G54" s="552"/>
      <c r="H54" s="623"/>
      <c r="I54" s="553">
        <f t="shared" si="9"/>
        <v>0</v>
      </c>
      <c r="J54" s="553">
        <f t="shared" si="7"/>
        <v>0</v>
      </c>
    </row>
    <row r="55" spans="1:11">
      <c r="A55" s="609">
        <f t="shared" si="6"/>
        <v>39</v>
      </c>
      <c r="B55" s="620" t="s">
        <v>169</v>
      </c>
      <c r="C55" s="625">
        <v>30</v>
      </c>
      <c r="D55" s="748">
        <v>0</v>
      </c>
      <c r="E55" s="748">
        <v>0</v>
      </c>
      <c r="F55" s="556">
        <f t="shared" si="8"/>
        <v>0</v>
      </c>
      <c r="G55" s="552"/>
      <c r="H55" s="623"/>
      <c r="I55" s="553">
        <f t="shared" si="9"/>
        <v>0</v>
      </c>
      <c r="J55" s="553">
        <f t="shared" si="7"/>
        <v>0</v>
      </c>
    </row>
    <row r="56" spans="1:11">
      <c r="A56" s="609">
        <f t="shared" si="6"/>
        <v>40</v>
      </c>
      <c r="B56" s="620" t="s">
        <v>170</v>
      </c>
      <c r="C56" s="625">
        <v>31</v>
      </c>
      <c r="D56" s="748">
        <v>0</v>
      </c>
      <c r="E56" s="748">
        <v>0</v>
      </c>
      <c r="F56" s="556">
        <f t="shared" si="8"/>
        <v>0</v>
      </c>
      <c r="G56" s="552"/>
      <c r="H56" s="623"/>
      <c r="I56" s="553">
        <f t="shared" si="9"/>
        <v>0</v>
      </c>
      <c r="J56" s="553">
        <f t="shared" si="7"/>
        <v>0</v>
      </c>
    </row>
    <row r="57" spans="1:11">
      <c r="A57" s="609">
        <f t="shared" si="6"/>
        <v>41</v>
      </c>
      <c r="B57" s="620" t="s">
        <v>517</v>
      </c>
      <c r="C57" s="625">
        <v>31</v>
      </c>
      <c r="D57" s="748">
        <v>0</v>
      </c>
      <c r="E57" s="748">
        <v>0</v>
      </c>
      <c r="F57" s="556">
        <f t="shared" si="8"/>
        <v>0</v>
      </c>
      <c r="G57" s="552"/>
      <c r="H57" s="623"/>
      <c r="I57" s="553">
        <f t="shared" si="9"/>
        <v>0</v>
      </c>
      <c r="J57" s="553">
        <f t="shared" si="7"/>
        <v>0</v>
      </c>
    </row>
    <row r="58" spans="1:11">
      <c r="A58" s="609">
        <f t="shared" si="6"/>
        <v>42</v>
      </c>
      <c r="B58" s="620" t="s">
        <v>171</v>
      </c>
      <c r="C58" s="625">
        <v>30</v>
      </c>
      <c r="D58" s="748">
        <v>0</v>
      </c>
      <c r="E58" s="748">
        <v>0</v>
      </c>
      <c r="F58" s="556">
        <f t="shared" si="8"/>
        <v>0</v>
      </c>
      <c r="G58" s="552"/>
      <c r="H58" s="623"/>
      <c r="I58" s="553">
        <f t="shared" si="9"/>
        <v>0</v>
      </c>
      <c r="J58" s="553">
        <f t="shared" si="7"/>
        <v>0</v>
      </c>
    </row>
    <row r="59" spans="1:11">
      <c r="A59" s="609">
        <f t="shared" si="6"/>
        <v>43</v>
      </c>
      <c r="B59" s="620" t="s">
        <v>172</v>
      </c>
      <c r="C59" s="625">
        <v>31</v>
      </c>
      <c r="D59" s="748">
        <v>0</v>
      </c>
      <c r="E59" s="748">
        <v>0</v>
      </c>
      <c r="F59" s="556">
        <f t="shared" si="8"/>
        <v>0</v>
      </c>
      <c r="G59" s="552"/>
      <c r="H59" s="623"/>
      <c r="I59" s="553">
        <f t="shared" si="9"/>
        <v>0</v>
      </c>
      <c r="J59" s="553">
        <f t="shared" si="7"/>
        <v>0</v>
      </c>
    </row>
    <row r="60" spans="1:11">
      <c r="A60" s="609">
        <f t="shared" si="6"/>
        <v>44</v>
      </c>
      <c r="B60" s="620" t="s">
        <v>173</v>
      </c>
      <c r="C60" s="625">
        <v>30</v>
      </c>
      <c r="D60" s="748">
        <v>0</v>
      </c>
      <c r="E60" s="748">
        <v>0</v>
      </c>
      <c r="F60" s="556">
        <f t="shared" si="8"/>
        <v>0</v>
      </c>
      <c r="G60" s="552"/>
      <c r="H60" s="623"/>
      <c r="I60" s="553">
        <f t="shared" si="9"/>
        <v>0</v>
      </c>
      <c r="J60" s="553">
        <f t="shared" si="7"/>
        <v>0</v>
      </c>
    </row>
    <row r="61" spans="1:11">
      <c r="A61" s="609">
        <f t="shared" si="6"/>
        <v>45</v>
      </c>
      <c r="B61" s="620" t="s">
        <v>518</v>
      </c>
      <c r="C61" s="625">
        <v>31</v>
      </c>
      <c r="D61" s="748">
        <v>0</v>
      </c>
      <c r="E61" s="748">
        <v>0</v>
      </c>
      <c r="F61" s="556">
        <f t="shared" si="8"/>
        <v>0</v>
      </c>
      <c r="G61" s="552"/>
      <c r="H61" s="623"/>
      <c r="I61" s="553">
        <f t="shared" si="9"/>
        <v>0</v>
      </c>
      <c r="J61" s="553">
        <f t="shared" si="7"/>
        <v>0</v>
      </c>
    </row>
    <row r="62" spans="1:11">
      <c r="A62" s="609">
        <f t="shared" si="6"/>
        <v>46</v>
      </c>
      <c r="B62" s="627"/>
      <c r="C62" s="627" t="s">
        <v>9</v>
      </c>
      <c r="D62" s="627"/>
      <c r="E62" s="627"/>
      <c r="F62" s="628"/>
      <c r="G62" s="621"/>
      <c r="H62" s="629">
        <f>SUM(H50:H61)</f>
        <v>0</v>
      </c>
      <c r="I62" s="629">
        <f>SUM(I50:I61)</f>
        <v>0</v>
      </c>
      <c r="J62" s="628"/>
    </row>
    <row r="63" spans="1:11">
      <c r="B63" s="630"/>
      <c r="C63" s="630"/>
      <c r="D63" s="630"/>
      <c r="E63" s="630"/>
      <c r="F63" s="631"/>
      <c r="G63" s="631"/>
      <c r="I63" s="632"/>
      <c r="J63" s="631"/>
    </row>
    <row r="64" spans="1:11">
      <c r="A64" s="609">
        <f>+A62+1</f>
        <v>47</v>
      </c>
      <c r="B64" s="687" t="s">
        <v>1102</v>
      </c>
      <c r="F64" s="609" t="s">
        <v>856</v>
      </c>
      <c r="G64" s="631"/>
      <c r="I64" s="631"/>
      <c r="J64" s="626">
        <v>0</v>
      </c>
    </row>
    <row r="65" spans="1:11">
      <c r="A65" s="609">
        <f>+A64+1</f>
        <v>48</v>
      </c>
      <c r="B65" s="609" t="s">
        <v>848</v>
      </c>
      <c r="F65" s="609" t="str">
        <f>"(Line "&amp;A64&amp;" less line "&amp;A66&amp;")"</f>
        <v>(Line 47 less line 49)</v>
      </c>
      <c r="G65" s="631"/>
      <c r="I65" s="631"/>
      <c r="J65" s="633">
        <f>+J64-J66</f>
        <v>0</v>
      </c>
    </row>
    <row r="66" spans="1:11">
      <c r="A66" s="609">
        <f t="shared" ref="A66:A72" si="10">+A65+1</f>
        <v>49</v>
      </c>
      <c r="B66" s="609" t="s">
        <v>849</v>
      </c>
      <c r="F66" s="609" t="str">
        <f>"(Line "&amp;A49&amp;", Col H)"</f>
        <v>(Line 33, Col H)</v>
      </c>
      <c r="G66" s="631"/>
      <c r="I66" s="631"/>
      <c r="J66" s="622">
        <f>+J49</f>
        <v>0</v>
      </c>
    </row>
    <row r="67" spans="1:11">
      <c r="A67" s="609">
        <f t="shared" si="10"/>
        <v>50</v>
      </c>
      <c r="B67" s="609" t="s">
        <v>850</v>
      </c>
      <c r="F67" s="609" t="s">
        <v>857</v>
      </c>
      <c r="G67" s="631"/>
      <c r="I67" s="631"/>
      <c r="J67" s="626">
        <v>0</v>
      </c>
    </row>
    <row r="68" spans="1:11">
      <c r="A68" s="609">
        <f t="shared" si="10"/>
        <v>51</v>
      </c>
      <c r="B68" s="609" t="str">
        <f>+B65</f>
        <v>Less non Prorated Items</v>
      </c>
      <c r="F68" s="609" t="str">
        <f>"(Line "&amp;A67&amp;" less line "&amp;A69&amp;")"</f>
        <v>(Line 50 less line 52)</v>
      </c>
      <c r="G68" s="631"/>
      <c r="I68" s="631"/>
      <c r="J68" s="633">
        <f>+J67-J69</f>
        <v>0</v>
      </c>
    </row>
    <row r="69" spans="1:11">
      <c r="A69" s="609">
        <f t="shared" si="10"/>
        <v>52</v>
      </c>
      <c r="B69" s="609" t="s">
        <v>851</v>
      </c>
      <c r="F69" s="609" t="str">
        <f>"(Line "&amp;A61&amp;", Col H)"</f>
        <v>(Line 45, Col H)</v>
      </c>
      <c r="G69" s="631"/>
      <c r="I69" s="631"/>
      <c r="J69" s="622">
        <f>+J61</f>
        <v>0</v>
      </c>
    </row>
    <row r="70" spans="1:11">
      <c r="A70" s="609">
        <f t="shared" si="10"/>
        <v>53</v>
      </c>
      <c r="B70" s="609" t="s">
        <v>768</v>
      </c>
      <c r="F70" s="609" t="str">
        <f>"([Lines "&amp;A66&amp;" + "&amp;A69&amp;"] /2)+([Lines "&amp;A65&amp;" +"&amp;A68&amp;")/2])"</f>
        <v>([Lines 49 + 52] /2)+([Lines 48 +51)/2])</v>
      </c>
      <c r="G70" s="631"/>
      <c r="I70" s="618"/>
      <c r="J70" s="634">
        <f>(J66+J69)/2+(J65+J68)/2</f>
        <v>0</v>
      </c>
    </row>
    <row r="71" spans="1:11">
      <c r="A71" s="609">
        <f t="shared" si="10"/>
        <v>54</v>
      </c>
      <c r="B71" s="609" t="s">
        <v>854</v>
      </c>
      <c r="F71" s="609" t="s">
        <v>861</v>
      </c>
      <c r="G71" s="631"/>
      <c r="I71" s="618"/>
      <c r="J71" s="626">
        <v>0</v>
      </c>
    </row>
    <row r="72" spans="1:11">
      <c r="A72" s="609">
        <f t="shared" si="10"/>
        <v>55</v>
      </c>
      <c r="B72" s="609" t="s">
        <v>864</v>
      </c>
      <c r="F72" s="609" t="str">
        <f>"(Line "&amp;A70&amp;" less line "&amp;A71&amp;")"</f>
        <v>(Line 53 less line 54)</v>
      </c>
      <c r="J72" s="635">
        <f>+J70-J71</f>
        <v>0</v>
      </c>
    </row>
    <row r="73" spans="1:11">
      <c r="A73" s="827" t="str">
        <f>A1</f>
        <v>Worksheet P5</v>
      </c>
      <c r="B73" s="827"/>
      <c r="C73" s="827"/>
      <c r="D73" s="827"/>
      <c r="E73" s="827"/>
      <c r="F73" s="827"/>
      <c r="G73" s="827"/>
      <c r="H73" s="827"/>
      <c r="I73" s="827"/>
      <c r="J73" s="827"/>
      <c r="K73" s="827"/>
    </row>
    <row r="74" spans="1:11">
      <c r="A74" s="827" t="str">
        <f>A2</f>
        <v>Accumulated Deferred Income Taxes</v>
      </c>
      <c r="B74" s="827"/>
      <c r="C74" s="827"/>
      <c r="D74" s="827"/>
      <c r="E74" s="827"/>
      <c r="F74" s="827"/>
      <c r="G74" s="827"/>
      <c r="H74" s="827"/>
      <c r="I74" s="827"/>
      <c r="J74" s="827"/>
      <c r="K74" s="827"/>
    </row>
    <row r="75" spans="1:11">
      <c r="A75" s="827" t="str">
        <f>A3</f>
        <v>Cheyenne Light, Fuel &amp; Power</v>
      </c>
      <c r="B75" s="827"/>
      <c r="C75" s="827"/>
      <c r="D75" s="827"/>
      <c r="E75" s="827"/>
      <c r="F75" s="827"/>
      <c r="G75" s="827"/>
      <c r="H75" s="827"/>
      <c r="I75" s="827"/>
      <c r="J75" s="827"/>
      <c r="K75" s="827"/>
    </row>
    <row r="76" spans="1:11">
      <c r="A76" s="638"/>
      <c r="B76" s="638"/>
      <c r="C76" s="638"/>
      <c r="D76" s="638"/>
      <c r="E76" s="638"/>
      <c r="F76" s="638"/>
      <c r="G76" s="638"/>
      <c r="H76" s="638"/>
      <c r="I76" s="638"/>
      <c r="J76" s="611" t="s">
        <v>985</v>
      </c>
      <c r="K76" s="638"/>
    </row>
    <row r="78" spans="1:11">
      <c r="A78" s="609">
        <f>+A72+1</f>
        <v>56</v>
      </c>
      <c r="B78" s="612" t="s">
        <v>852</v>
      </c>
      <c r="H78" s="613"/>
      <c r="I78" s="613"/>
      <c r="J78" s="613"/>
    </row>
    <row r="79" spans="1:11">
      <c r="A79" s="609">
        <f>+A78+1</f>
        <v>57</v>
      </c>
      <c r="B79" s="832" t="s">
        <v>836</v>
      </c>
      <c r="C79" s="833"/>
      <c r="D79" s="833"/>
      <c r="E79" s="833"/>
      <c r="F79" s="834"/>
      <c r="G79" s="615"/>
      <c r="H79" s="828" t="s">
        <v>837</v>
      </c>
      <c r="I79" s="829"/>
      <c r="J79" s="830"/>
    </row>
    <row r="80" spans="1:11">
      <c r="B80" s="616" t="s">
        <v>79</v>
      </c>
      <c r="C80" s="616" t="s">
        <v>80</v>
      </c>
      <c r="D80" s="616" t="s">
        <v>81</v>
      </c>
      <c r="E80" s="616" t="s">
        <v>82</v>
      </c>
      <c r="F80" s="616" t="s">
        <v>83</v>
      </c>
      <c r="G80" s="615"/>
      <c r="H80" s="616" t="s">
        <v>84</v>
      </c>
      <c r="I80" s="616" t="s">
        <v>85</v>
      </c>
      <c r="J80" s="616" t="s">
        <v>449</v>
      </c>
    </row>
    <row r="81" spans="1:16" ht="51">
      <c r="A81" s="609">
        <f>+A79+1</f>
        <v>58</v>
      </c>
      <c r="B81" s="617" t="s">
        <v>268</v>
      </c>
      <c r="C81" s="617" t="s">
        <v>838</v>
      </c>
      <c r="D81" s="617" t="s">
        <v>839</v>
      </c>
      <c r="E81" s="617" t="s">
        <v>840</v>
      </c>
      <c r="F81" s="617" t="s">
        <v>841</v>
      </c>
      <c r="G81" s="618"/>
      <c r="H81" s="617" t="s">
        <v>842</v>
      </c>
      <c r="I81" s="617" t="s">
        <v>843</v>
      </c>
      <c r="J81" s="617" t="s">
        <v>844</v>
      </c>
    </row>
    <row r="82" spans="1:16">
      <c r="A82" s="609">
        <f t="shared" ref="A82:A96" si="11">+A81+1</f>
        <v>59</v>
      </c>
      <c r="C82" s="618"/>
      <c r="D82" s="618"/>
      <c r="E82" s="618"/>
      <c r="F82" s="618"/>
      <c r="G82" s="618"/>
      <c r="H82" s="618"/>
      <c r="I82" s="618"/>
      <c r="J82" s="618"/>
      <c r="L82" s="639"/>
      <c r="M82" s="639"/>
      <c r="N82" s="639"/>
      <c r="O82" s="639"/>
      <c r="P82" s="639"/>
    </row>
    <row r="83" spans="1:16">
      <c r="A83" s="609">
        <f>+A82+1</f>
        <v>60</v>
      </c>
      <c r="B83" s="609" t="s">
        <v>849</v>
      </c>
      <c r="C83" s="620"/>
      <c r="D83" s="621"/>
      <c r="E83" s="621"/>
      <c r="F83" s="621"/>
      <c r="G83" s="621"/>
      <c r="H83" s="622"/>
      <c r="I83" s="622"/>
      <c r="J83" s="623">
        <v>0</v>
      </c>
      <c r="L83" s="640"/>
      <c r="M83" s="639"/>
      <c r="N83" s="639"/>
      <c r="O83" s="639"/>
      <c r="P83" s="639"/>
    </row>
    <row r="84" spans="1:16">
      <c r="A84" s="609">
        <f t="shared" si="11"/>
        <v>61</v>
      </c>
      <c r="B84" s="620" t="s">
        <v>165</v>
      </c>
      <c r="C84" s="625">
        <v>31</v>
      </c>
      <c r="D84" s="748">
        <v>335</v>
      </c>
      <c r="E84" s="748">
        <v>366</v>
      </c>
      <c r="F84" s="573">
        <f>IF(E84=0,0,D84/E84)</f>
        <v>0.91530054644808745</v>
      </c>
      <c r="G84" s="641"/>
      <c r="H84" s="623">
        <v>-155031.05645382282</v>
      </c>
      <c r="I84" s="585">
        <f>+H84*F84</f>
        <v>-141900.01068860831</v>
      </c>
      <c r="J84" s="585">
        <f>+I84+J83</f>
        <v>-141900.01068860831</v>
      </c>
      <c r="L84" s="554"/>
      <c r="M84" s="555"/>
      <c r="N84" s="639"/>
      <c r="O84" s="639"/>
      <c r="P84" s="639"/>
    </row>
    <row r="85" spans="1:16">
      <c r="A85" s="609">
        <f t="shared" si="11"/>
        <v>62</v>
      </c>
      <c r="B85" s="620" t="s">
        <v>166</v>
      </c>
      <c r="C85" s="626">
        <v>29</v>
      </c>
      <c r="D85" s="748">
        <v>306</v>
      </c>
      <c r="E85" s="748">
        <v>366</v>
      </c>
      <c r="F85" s="573">
        <f t="shared" ref="F85:F95" si="12">IF(E85=0,0,D85/E85)</f>
        <v>0.83606557377049184</v>
      </c>
      <c r="G85" s="557"/>
      <c r="H85" s="623">
        <v>-155031.05645382282</v>
      </c>
      <c r="I85" s="585">
        <f t="shared" ref="I85:I95" si="13">+H85*F85</f>
        <v>-129616.12916631089</v>
      </c>
      <c r="J85" s="585">
        <f t="shared" ref="J85:J95" si="14">+I85+J84</f>
        <v>-271516.13985491917</v>
      </c>
      <c r="K85" s="642"/>
      <c r="L85" s="554"/>
      <c r="M85" s="554"/>
      <c r="N85" s="639"/>
      <c r="O85" s="639"/>
      <c r="P85" s="639"/>
    </row>
    <row r="86" spans="1:16">
      <c r="A86" s="609">
        <f t="shared" si="11"/>
        <v>63</v>
      </c>
      <c r="B86" s="620" t="s">
        <v>516</v>
      </c>
      <c r="C86" s="625">
        <v>31</v>
      </c>
      <c r="D86" s="748">
        <v>275</v>
      </c>
      <c r="E86" s="748">
        <v>366</v>
      </c>
      <c r="F86" s="573">
        <f t="shared" si="12"/>
        <v>0.75136612021857918</v>
      </c>
      <c r="G86" s="557"/>
      <c r="H86" s="623">
        <v>-155031.05645382282</v>
      </c>
      <c r="I86" s="585">
        <f t="shared" si="13"/>
        <v>-116485.08340109637</v>
      </c>
      <c r="J86" s="585">
        <f t="shared" si="14"/>
        <v>-388001.22325601557</v>
      </c>
      <c r="L86" s="554"/>
      <c r="M86" s="554"/>
      <c r="N86" s="639"/>
      <c r="O86" s="639"/>
      <c r="P86" s="639"/>
    </row>
    <row r="87" spans="1:16">
      <c r="A87" s="609">
        <f t="shared" si="11"/>
        <v>64</v>
      </c>
      <c r="B87" s="620" t="s">
        <v>167</v>
      </c>
      <c r="C87" s="625">
        <v>30</v>
      </c>
      <c r="D87" s="748">
        <v>245</v>
      </c>
      <c r="E87" s="748">
        <v>366</v>
      </c>
      <c r="F87" s="573">
        <f t="shared" si="12"/>
        <v>0.6693989071038251</v>
      </c>
      <c r="G87" s="557"/>
      <c r="H87" s="623">
        <v>-155031.05645382282</v>
      </c>
      <c r="I87" s="585">
        <f t="shared" si="13"/>
        <v>-103777.61975734041</v>
      </c>
      <c r="J87" s="585">
        <f t="shared" si="14"/>
        <v>-491778.84301335597</v>
      </c>
      <c r="L87" s="554"/>
      <c r="M87" s="554"/>
      <c r="N87" s="639"/>
      <c r="O87" s="639"/>
      <c r="P87" s="639"/>
    </row>
    <row r="88" spans="1:16">
      <c r="A88" s="609">
        <f t="shared" si="11"/>
        <v>65</v>
      </c>
      <c r="B88" s="620" t="s">
        <v>168</v>
      </c>
      <c r="C88" s="625">
        <v>31</v>
      </c>
      <c r="D88" s="748">
        <v>214</v>
      </c>
      <c r="E88" s="748">
        <v>366</v>
      </c>
      <c r="F88" s="573">
        <f t="shared" si="12"/>
        <v>0.58469945355191255</v>
      </c>
      <c r="G88" s="557"/>
      <c r="H88" s="623">
        <v>-155031.05645382282</v>
      </c>
      <c r="I88" s="585">
        <f t="shared" si="13"/>
        <v>-90646.573992125908</v>
      </c>
      <c r="J88" s="585">
        <f t="shared" si="14"/>
        <v>-582425.4170054819</v>
      </c>
      <c r="L88" s="554"/>
      <c r="M88" s="554"/>
      <c r="N88" s="639"/>
      <c r="O88" s="639"/>
      <c r="P88" s="639"/>
    </row>
    <row r="89" spans="1:16">
      <c r="A89" s="609">
        <f t="shared" si="11"/>
        <v>66</v>
      </c>
      <c r="B89" s="620" t="s">
        <v>169</v>
      </c>
      <c r="C89" s="625">
        <v>30</v>
      </c>
      <c r="D89" s="748">
        <v>184</v>
      </c>
      <c r="E89" s="748">
        <v>366</v>
      </c>
      <c r="F89" s="573">
        <f t="shared" si="12"/>
        <v>0.50273224043715847</v>
      </c>
      <c r="G89" s="557"/>
      <c r="H89" s="623">
        <v>-155031.05645382282</v>
      </c>
      <c r="I89" s="585">
        <f t="shared" si="13"/>
        <v>-77939.110348369941</v>
      </c>
      <c r="J89" s="585">
        <f t="shared" si="14"/>
        <v>-660364.52735385182</v>
      </c>
      <c r="L89" s="554"/>
      <c r="M89" s="554"/>
      <c r="N89" s="639"/>
      <c r="O89" s="639"/>
      <c r="P89" s="639"/>
    </row>
    <row r="90" spans="1:16">
      <c r="A90" s="609">
        <f t="shared" si="11"/>
        <v>67</v>
      </c>
      <c r="B90" s="620" t="s">
        <v>170</v>
      </c>
      <c r="C90" s="625">
        <v>31</v>
      </c>
      <c r="D90" s="748">
        <v>153</v>
      </c>
      <c r="E90" s="748">
        <v>366</v>
      </c>
      <c r="F90" s="573">
        <f t="shared" si="12"/>
        <v>0.41803278688524592</v>
      </c>
      <c r="G90" s="557"/>
      <c r="H90" s="623">
        <v>-155031.05645382282</v>
      </c>
      <c r="I90" s="585">
        <f t="shared" si="13"/>
        <v>-64808.064583155443</v>
      </c>
      <c r="J90" s="585">
        <f t="shared" si="14"/>
        <v>-725172.59193700727</v>
      </c>
      <c r="L90" s="554"/>
      <c r="M90" s="554"/>
      <c r="N90" s="640"/>
      <c r="O90" s="639"/>
      <c r="P90" s="554"/>
    </row>
    <row r="91" spans="1:16">
      <c r="A91" s="609">
        <f t="shared" si="11"/>
        <v>68</v>
      </c>
      <c r="B91" s="620" t="s">
        <v>517</v>
      </c>
      <c r="C91" s="625">
        <v>31</v>
      </c>
      <c r="D91" s="748">
        <v>122</v>
      </c>
      <c r="E91" s="748">
        <v>366</v>
      </c>
      <c r="F91" s="573">
        <f t="shared" si="12"/>
        <v>0.33333333333333331</v>
      </c>
      <c r="G91" s="557"/>
      <c r="H91" s="623">
        <v>-155031.05645382282</v>
      </c>
      <c r="I91" s="585">
        <f t="shared" si="13"/>
        <v>-51677.018817940938</v>
      </c>
      <c r="J91" s="585">
        <f t="shared" si="14"/>
        <v>-776849.61075494823</v>
      </c>
      <c r="L91" s="554"/>
      <c r="M91" s="554"/>
      <c r="N91" s="640"/>
      <c r="O91" s="639"/>
      <c r="P91" s="554"/>
    </row>
    <row r="92" spans="1:16">
      <c r="A92" s="609">
        <f t="shared" si="11"/>
        <v>69</v>
      </c>
      <c r="B92" s="620" t="s">
        <v>171</v>
      </c>
      <c r="C92" s="625">
        <v>30</v>
      </c>
      <c r="D92" s="748">
        <v>92</v>
      </c>
      <c r="E92" s="748">
        <v>366</v>
      </c>
      <c r="F92" s="573">
        <f t="shared" si="12"/>
        <v>0.25136612021857924</v>
      </c>
      <c r="G92" s="557"/>
      <c r="H92" s="623">
        <v>-155031.05645382282</v>
      </c>
      <c r="I92" s="585">
        <f t="shared" si="13"/>
        <v>-38969.55517418497</v>
      </c>
      <c r="J92" s="585">
        <f t="shared" si="14"/>
        <v>-815819.16592913319</v>
      </c>
      <c r="L92" s="554"/>
      <c r="M92" s="554"/>
      <c r="N92" s="640"/>
      <c r="O92" s="639"/>
      <c r="P92" s="554"/>
    </row>
    <row r="93" spans="1:16">
      <c r="A93" s="609">
        <f t="shared" si="11"/>
        <v>70</v>
      </c>
      <c r="B93" s="620" t="s">
        <v>172</v>
      </c>
      <c r="C93" s="625">
        <v>31</v>
      </c>
      <c r="D93" s="748">
        <v>61</v>
      </c>
      <c r="E93" s="748">
        <v>366</v>
      </c>
      <c r="F93" s="573">
        <f t="shared" si="12"/>
        <v>0.16666666666666666</v>
      </c>
      <c r="G93" s="557"/>
      <c r="H93" s="623">
        <v>-155031.05645382282</v>
      </c>
      <c r="I93" s="585">
        <f t="shared" si="13"/>
        <v>-25838.509408970469</v>
      </c>
      <c r="J93" s="585">
        <f t="shared" si="14"/>
        <v>-841657.67533810367</v>
      </c>
      <c r="L93" s="554"/>
      <c r="M93" s="554"/>
      <c r="N93" s="640"/>
      <c r="O93" s="639"/>
      <c r="P93" s="554"/>
    </row>
    <row r="94" spans="1:16">
      <c r="A94" s="609">
        <f t="shared" si="11"/>
        <v>71</v>
      </c>
      <c r="B94" s="620" t="s">
        <v>173</v>
      </c>
      <c r="C94" s="625">
        <v>30</v>
      </c>
      <c r="D94" s="748">
        <v>31</v>
      </c>
      <c r="E94" s="748">
        <v>366</v>
      </c>
      <c r="F94" s="573">
        <f t="shared" si="12"/>
        <v>8.4699453551912565E-2</v>
      </c>
      <c r="G94" s="557"/>
      <c r="H94" s="623">
        <v>-155031.05645382282</v>
      </c>
      <c r="I94" s="585">
        <f t="shared" si="13"/>
        <v>-13131.045765214501</v>
      </c>
      <c r="J94" s="585">
        <f t="shared" si="14"/>
        <v>-854788.72110331815</v>
      </c>
      <c r="L94" s="554"/>
      <c r="M94" s="554"/>
      <c r="N94" s="640"/>
      <c r="O94" s="639"/>
      <c r="P94" s="554"/>
    </row>
    <row r="95" spans="1:16">
      <c r="A95" s="609">
        <f t="shared" si="11"/>
        <v>72</v>
      </c>
      <c r="B95" s="620" t="s">
        <v>518</v>
      </c>
      <c r="C95" s="625">
        <v>31</v>
      </c>
      <c r="D95" s="748">
        <v>1</v>
      </c>
      <c r="E95" s="748">
        <v>366</v>
      </c>
      <c r="F95" s="573">
        <f t="shared" si="12"/>
        <v>2.7322404371584699E-3</v>
      </c>
      <c r="G95" s="557"/>
      <c r="H95" s="623">
        <v>-155031.05645382282</v>
      </c>
      <c r="I95" s="585">
        <f t="shared" si="13"/>
        <v>-423.5821214585323</v>
      </c>
      <c r="J95" s="585">
        <f t="shared" si="14"/>
        <v>-855212.30322477664</v>
      </c>
      <c r="L95" s="554"/>
      <c r="M95" s="554"/>
      <c r="N95" s="640"/>
      <c r="O95" s="639"/>
      <c r="P95" s="554"/>
    </row>
    <row r="96" spans="1:16">
      <c r="A96" s="609">
        <f t="shared" si="11"/>
        <v>73</v>
      </c>
      <c r="B96" s="627"/>
      <c r="C96" s="627" t="s">
        <v>9</v>
      </c>
      <c r="D96" s="627"/>
      <c r="E96" s="627"/>
      <c r="F96" s="628"/>
      <c r="G96" s="621"/>
      <c r="H96" s="629">
        <f>SUM(H84:H95)</f>
        <v>-1860372.6774458743</v>
      </c>
      <c r="I96" s="629">
        <f>SUM(I84:I95)</f>
        <v>-855212.30322477664</v>
      </c>
      <c r="J96" s="628"/>
      <c r="L96" s="643"/>
    </row>
    <row r="97" spans="1:16">
      <c r="B97" s="630"/>
      <c r="C97" s="630"/>
      <c r="D97" s="630"/>
      <c r="E97" s="630"/>
      <c r="F97" s="631"/>
      <c r="G97" s="621"/>
      <c r="H97" s="622"/>
      <c r="I97" s="622"/>
      <c r="J97" s="631"/>
      <c r="L97" s="643"/>
    </row>
    <row r="98" spans="1:16">
      <c r="A98" s="609">
        <f>+A96+1</f>
        <v>74</v>
      </c>
      <c r="B98" s="619" t="s">
        <v>898</v>
      </c>
      <c r="C98" s="618"/>
      <c r="D98" s="618"/>
      <c r="E98" s="618"/>
      <c r="F98" s="619" t="s">
        <v>905</v>
      </c>
      <c r="G98" s="618"/>
      <c r="H98" s="618"/>
      <c r="I98" s="618"/>
      <c r="J98" s="584">
        <f>'A3-ADIT'!E13</f>
        <v>-74674604.139379382</v>
      </c>
      <c r="L98" s="639"/>
      <c r="M98" s="639"/>
      <c r="N98" s="639"/>
      <c r="O98" s="639"/>
      <c r="P98" s="639"/>
    </row>
    <row r="99" spans="1:16">
      <c r="A99" s="609">
        <f>A98+1</f>
        <v>75</v>
      </c>
      <c r="B99" s="609" t="s">
        <v>1090</v>
      </c>
      <c r="C99" s="618"/>
      <c r="D99" s="618"/>
      <c r="E99" s="618"/>
      <c r="F99" s="619" t="s">
        <v>1214</v>
      </c>
      <c r="G99" s="618"/>
      <c r="H99" s="618"/>
      <c r="I99" s="618"/>
      <c r="J99" s="734">
        <f>'Proj Att-H'!G234</f>
        <v>0.18371573340764177</v>
      </c>
      <c r="L99" s="639"/>
      <c r="M99" s="639"/>
      <c r="N99" s="639"/>
      <c r="O99" s="639"/>
      <c r="P99" s="639"/>
    </row>
    <row r="100" spans="1:16">
      <c r="A100" s="609">
        <f t="shared" ref="A100:A106" si="15">+A99+1</f>
        <v>76</v>
      </c>
      <c r="B100" s="609" t="s">
        <v>899</v>
      </c>
      <c r="C100" s="618"/>
      <c r="D100" s="618"/>
      <c r="E100" s="618"/>
      <c r="F100" s="619" t="s">
        <v>904</v>
      </c>
      <c r="G100" s="618"/>
      <c r="H100" s="618"/>
      <c r="I100" s="618"/>
      <c r="J100" s="735">
        <f>J98*J99</f>
        <v>-13718899.666391406</v>
      </c>
      <c r="L100" s="639"/>
      <c r="M100" s="639"/>
      <c r="N100" s="639"/>
      <c r="O100" s="639"/>
      <c r="P100" s="639"/>
    </row>
    <row r="101" spans="1:16">
      <c r="A101" s="609">
        <f t="shared" si="15"/>
        <v>77</v>
      </c>
      <c r="B101" s="609" t="s">
        <v>900</v>
      </c>
      <c r="C101" s="618"/>
      <c r="D101" s="618"/>
      <c r="E101" s="618"/>
      <c r="F101" s="619" t="s">
        <v>1212</v>
      </c>
      <c r="G101" s="618"/>
      <c r="H101" s="618"/>
      <c r="I101" s="618"/>
      <c r="J101" s="584">
        <f>'P1-Trans Plant'!V42</f>
        <v>-259028.51855806782</v>
      </c>
      <c r="L101" s="639"/>
      <c r="M101" s="639"/>
      <c r="N101" s="639"/>
      <c r="O101" s="639"/>
      <c r="P101" s="639"/>
    </row>
    <row r="102" spans="1:16">
      <c r="A102" s="609">
        <f t="shared" si="15"/>
        <v>78</v>
      </c>
      <c r="B102" s="609" t="s">
        <v>846</v>
      </c>
      <c r="F102" s="609" t="s">
        <v>903</v>
      </c>
      <c r="G102" s="631"/>
      <c r="I102" s="631"/>
      <c r="J102" s="644">
        <f>J100+J101</f>
        <v>-13977928.184949474</v>
      </c>
    </row>
    <row r="103" spans="1:16">
      <c r="A103" s="609">
        <f t="shared" si="15"/>
        <v>79</v>
      </c>
      <c r="B103" s="609" t="s">
        <v>851</v>
      </c>
      <c r="F103" s="609" t="str">
        <f>"(Line "&amp;A95&amp;", Col H)"</f>
        <v>(Line 72, Col H)</v>
      </c>
      <c r="G103" s="631"/>
      <c r="I103" s="631"/>
      <c r="J103" s="622">
        <f>+J95</f>
        <v>-855212.30322477664</v>
      </c>
    </row>
    <row r="104" spans="1:16">
      <c r="A104" s="609">
        <f t="shared" si="15"/>
        <v>80</v>
      </c>
      <c r="B104" s="609" t="s">
        <v>901</v>
      </c>
      <c r="F104" s="609" t="s">
        <v>902</v>
      </c>
      <c r="G104" s="631"/>
      <c r="I104" s="618"/>
      <c r="J104" s="634">
        <f>J102+J103</f>
        <v>-14833140.48817425</v>
      </c>
      <c r="L104" s="645"/>
    </row>
    <row r="105" spans="1:16">
      <c r="A105" s="609">
        <f t="shared" si="15"/>
        <v>81</v>
      </c>
      <c r="B105" s="609" t="s">
        <v>854</v>
      </c>
      <c r="F105" s="609" t="s">
        <v>861</v>
      </c>
      <c r="G105" s="631"/>
      <c r="I105" s="618"/>
      <c r="J105" s="626">
        <v>0</v>
      </c>
    </row>
    <row r="106" spans="1:16">
      <c r="A106" s="609">
        <f t="shared" si="15"/>
        <v>82</v>
      </c>
      <c r="B106" s="609" t="s">
        <v>864</v>
      </c>
      <c r="F106" s="609" t="s">
        <v>911</v>
      </c>
      <c r="J106" s="635">
        <f>+J104-J105</f>
        <v>-14833140.48817425</v>
      </c>
    </row>
    <row r="107" spans="1:16">
      <c r="A107" s="827" t="str">
        <f>A1</f>
        <v>Worksheet P5</v>
      </c>
      <c r="B107" s="827"/>
      <c r="C107" s="827"/>
      <c r="D107" s="827"/>
      <c r="E107" s="827"/>
      <c r="F107" s="827"/>
      <c r="G107" s="827"/>
      <c r="H107" s="827"/>
      <c r="I107" s="827"/>
      <c r="J107" s="827"/>
      <c r="K107" s="827"/>
    </row>
    <row r="108" spans="1:16">
      <c r="A108" s="827" t="str">
        <f>A2</f>
        <v>Accumulated Deferred Income Taxes</v>
      </c>
      <c r="B108" s="827"/>
      <c r="C108" s="827"/>
      <c r="D108" s="827"/>
      <c r="E108" s="827"/>
      <c r="F108" s="827"/>
      <c r="G108" s="827"/>
      <c r="H108" s="827"/>
      <c r="I108" s="827"/>
      <c r="J108" s="827"/>
      <c r="K108" s="827"/>
    </row>
    <row r="109" spans="1:16">
      <c r="A109" s="827" t="str">
        <f>A3</f>
        <v>Cheyenne Light, Fuel &amp; Power</v>
      </c>
      <c r="B109" s="827"/>
      <c r="C109" s="827"/>
      <c r="D109" s="827"/>
      <c r="E109" s="827"/>
      <c r="F109" s="827"/>
      <c r="G109" s="827"/>
      <c r="H109" s="827"/>
      <c r="I109" s="827"/>
      <c r="J109" s="827"/>
      <c r="K109" s="827"/>
    </row>
    <row r="110" spans="1:16">
      <c r="J110" s="611" t="s">
        <v>986</v>
      </c>
    </row>
    <row r="111" spans="1:16">
      <c r="A111" s="646"/>
      <c r="B111" s="646"/>
      <c r="C111" s="646"/>
      <c r="D111" s="646"/>
      <c r="E111" s="646"/>
      <c r="F111" s="646"/>
      <c r="G111" s="646"/>
      <c r="H111" s="646"/>
    </row>
    <row r="112" spans="1:16">
      <c r="A112" s="609">
        <f>A106+1</f>
        <v>83</v>
      </c>
      <c r="B112" s="612" t="s">
        <v>853</v>
      </c>
      <c r="H112" s="613"/>
      <c r="I112" s="613"/>
      <c r="J112" s="613"/>
    </row>
    <row r="113" spans="1:10">
      <c r="A113" s="609">
        <f>+A112+1</f>
        <v>84</v>
      </c>
      <c r="B113" s="828" t="s">
        <v>836</v>
      </c>
      <c r="C113" s="829"/>
      <c r="D113" s="829"/>
      <c r="E113" s="829"/>
      <c r="F113" s="830"/>
      <c r="G113" s="615"/>
      <c r="H113" s="828" t="s">
        <v>837</v>
      </c>
      <c r="I113" s="829"/>
      <c r="J113" s="830"/>
    </row>
    <row r="114" spans="1:10">
      <c r="B114" s="616" t="s">
        <v>79</v>
      </c>
      <c r="C114" s="616" t="s">
        <v>80</v>
      </c>
      <c r="D114" s="616" t="s">
        <v>81</v>
      </c>
      <c r="E114" s="616" t="s">
        <v>82</v>
      </c>
      <c r="F114" s="616" t="s">
        <v>83</v>
      </c>
      <c r="G114" s="615"/>
      <c r="H114" s="616" t="s">
        <v>84</v>
      </c>
      <c r="I114" s="616" t="s">
        <v>85</v>
      </c>
      <c r="J114" s="616" t="s">
        <v>449</v>
      </c>
    </row>
    <row r="115" spans="1:10" ht="51">
      <c r="A115" s="609">
        <f>+A113+1</f>
        <v>85</v>
      </c>
      <c r="B115" s="617" t="s">
        <v>268</v>
      </c>
      <c r="C115" s="617" t="s">
        <v>838</v>
      </c>
      <c r="D115" s="617" t="s">
        <v>839</v>
      </c>
      <c r="E115" s="617" t="s">
        <v>840</v>
      </c>
      <c r="F115" s="617" t="s">
        <v>841</v>
      </c>
      <c r="G115" s="618"/>
      <c r="H115" s="617" t="s">
        <v>842</v>
      </c>
      <c r="I115" s="617" t="s">
        <v>843</v>
      </c>
      <c r="J115" s="617" t="s">
        <v>844</v>
      </c>
    </row>
    <row r="116" spans="1:10">
      <c r="A116" s="609">
        <f t="shared" ref="A116:A130" si="16">+A115+1</f>
        <v>86</v>
      </c>
      <c r="C116" s="618"/>
      <c r="D116" s="618"/>
      <c r="E116" s="618"/>
      <c r="F116" s="618"/>
      <c r="G116" s="618"/>
      <c r="H116" s="618"/>
      <c r="I116" s="618"/>
      <c r="J116" s="618"/>
    </row>
    <row r="117" spans="1:10">
      <c r="A117" s="609">
        <f t="shared" si="16"/>
        <v>87</v>
      </c>
      <c r="B117" s="619" t="s">
        <v>845</v>
      </c>
      <c r="C117" s="620"/>
      <c r="D117" s="621"/>
      <c r="E117" s="621"/>
      <c r="F117" s="621"/>
      <c r="G117" s="621"/>
      <c r="H117" s="622"/>
      <c r="I117" s="622"/>
      <c r="J117" s="623">
        <v>0</v>
      </c>
    </row>
    <row r="118" spans="1:10">
      <c r="A118" s="609">
        <f t="shared" si="16"/>
        <v>88</v>
      </c>
      <c r="B118" s="620" t="s">
        <v>165</v>
      </c>
      <c r="C118" s="625">
        <v>31</v>
      </c>
      <c r="D118" s="748">
        <v>335</v>
      </c>
      <c r="E118" s="748">
        <v>366</v>
      </c>
      <c r="F118" s="556">
        <f>IF(E118=0,0,D118/E118)</f>
        <v>0.91530054644808745</v>
      </c>
      <c r="G118" s="552"/>
      <c r="H118" s="623">
        <v>0</v>
      </c>
      <c r="I118" s="553">
        <f>+H118*F118</f>
        <v>0</v>
      </c>
      <c r="J118" s="553">
        <f t="shared" ref="J118:J129" si="17">+I118+J117</f>
        <v>0</v>
      </c>
    </row>
    <row r="119" spans="1:10">
      <c r="A119" s="609">
        <f t="shared" si="16"/>
        <v>89</v>
      </c>
      <c r="B119" s="620" t="s">
        <v>166</v>
      </c>
      <c r="C119" s="626">
        <v>29</v>
      </c>
      <c r="D119" s="748">
        <v>306</v>
      </c>
      <c r="E119" s="748">
        <v>366</v>
      </c>
      <c r="F119" s="556">
        <f t="shared" ref="F119:F129" si="18">IF(E119=0,0,D119/E119)</f>
        <v>0.83606557377049184</v>
      </c>
      <c r="G119" s="552"/>
      <c r="H119" s="623">
        <v>0</v>
      </c>
      <c r="I119" s="553">
        <f t="shared" ref="I119:I129" si="19">+H119*F119</f>
        <v>0</v>
      </c>
      <c r="J119" s="553">
        <f t="shared" si="17"/>
        <v>0</v>
      </c>
    </row>
    <row r="120" spans="1:10">
      <c r="A120" s="609">
        <f t="shared" si="16"/>
        <v>90</v>
      </c>
      <c r="B120" s="620" t="s">
        <v>516</v>
      </c>
      <c r="C120" s="625">
        <v>31</v>
      </c>
      <c r="D120" s="748">
        <v>275</v>
      </c>
      <c r="E120" s="748">
        <v>366</v>
      </c>
      <c r="F120" s="556">
        <f t="shared" si="18"/>
        <v>0.75136612021857918</v>
      </c>
      <c r="G120" s="552"/>
      <c r="H120" s="623">
        <v>0</v>
      </c>
      <c r="I120" s="553">
        <f t="shared" si="19"/>
        <v>0</v>
      </c>
      <c r="J120" s="553">
        <f t="shared" si="17"/>
        <v>0</v>
      </c>
    </row>
    <row r="121" spans="1:10">
      <c r="A121" s="609">
        <f t="shared" si="16"/>
        <v>91</v>
      </c>
      <c r="B121" s="620" t="s">
        <v>167</v>
      </c>
      <c r="C121" s="625">
        <v>30</v>
      </c>
      <c r="D121" s="748">
        <v>245</v>
      </c>
      <c r="E121" s="748">
        <v>366</v>
      </c>
      <c r="F121" s="556">
        <f t="shared" si="18"/>
        <v>0.6693989071038251</v>
      </c>
      <c r="G121" s="552"/>
      <c r="H121" s="623">
        <v>0</v>
      </c>
      <c r="I121" s="553">
        <f t="shared" si="19"/>
        <v>0</v>
      </c>
      <c r="J121" s="553">
        <f t="shared" si="17"/>
        <v>0</v>
      </c>
    </row>
    <row r="122" spans="1:10">
      <c r="A122" s="609">
        <f t="shared" si="16"/>
        <v>92</v>
      </c>
      <c r="B122" s="620" t="s">
        <v>168</v>
      </c>
      <c r="C122" s="625">
        <v>31</v>
      </c>
      <c r="D122" s="748">
        <v>214</v>
      </c>
      <c r="E122" s="748">
        <v>366</v>
      </c>
      <c r="F122" s="556">
        <f t="shared" si="18"/>
        <v>0.58469945355191255</v>
      </c>
      <c r="G122" s="552"/>
      <c r="H122" s="623">
        <v>0</v>
      </c>
      <c r="I122" s="553">
        <f t="shared" si="19"/>
        <v>0</v>
      </c>
      <c r="J122" s="553">
        <f t="shared" si="17"/>
        <v>0</v>
      </c>
    </row>
    <row r="123" spans="1:10">
      <c r="A123" s="609">
        <f t="shared" si="16"/>
        <v>93</v>
      </c>
      <c r="B123" s="620" t="s">
        <v>169</v>
      </c>
      <c r="C123" s="625">
        <v>30</v>
      </c>
      <c r="D123" s="748">
        <v>184</v>
      </c>
      <c r="E123" s="748">
        <v>366</v>
      </c>
      <c r="F123" s="556">
        <f t="shared" si="18"/>
        <v>0.50273224043715847</v>
      </c>
      <c r="G123" s="552"/>
      <c r="H123" s="623">
        <v>0</v>
      </c>
      <c r="I123" s="553">
        <f t="shared" si="19"/>
        <v>0</v>
      </c>
      <c r="J123" s="553">
        <f t="shared" si="17"/>
        <v>0</v>
      </c>
    </row>
    <row r="124" spans="1:10">
      <c r="A124" s="609">
        <f t="shared" si="16"/>
        <v>94</v>
      </c>
      <c r="B124" s="620" t="s">
        <v>170</v>
      </c>
      <c r="C124" s="625">
        <v>31</v>
      </c>
      <c r="D124" s="748">
        <v>153</v>
      </c>
      <c r="E124" s="748">
        <v>366</v>
      </c>
      <c r="F124" s="556">
        <f t="shared" si="18"/>
        <v>0.41803278688524592</v>
      </c>
      <c r="G124" s="552"/>
      <c r="H124" s="623">
        <v>0</v>
      </c>
      <c r="I124" s="553">
        <f t="shared" si="19"/>
        <v>0</v>
      </c>
      <c r="J124" s="553">
        <f t="shared" si="17"/>
        <v>0</v>
      </c>
    </row>
    <row r="125" spans="1:10">
      <c r="A125" s="609">
        <f t="shared" si="16"/>
        <v>95</v>
      </c>
      <c r="B125" s="620" t="s">
        <v>517</v>
      </c>
      <c r="C125" s="625">
        <v>31</v>
      </c>
      <c r="D125" s="748">
        <v>122</v>
      </c>
      <c r="E125" s="748">
        <v>366</v>
      </c>
      <c r="F125" s="556">
        <f t="shared" si="18"/>
        <v>0.33333333333333331</v>
      </c>
      <c r="G125" s="552"/>
      <c r="H125" s="623">
        <v>0</v>
      </c>
      <c r="I125" s="553">
        <f t="shared" si="19"/>
        <v>0</v>
      </c>
      <c r="J125" s="553">
        <f t="shared" si="17"/>
        <v>0</v>
      </c>
    </row>
    <row r="126" spans="1:10">
      <c r="A126" s="609">
        <f t="shared" si="16"/>
        <v>96</v>
      </c>
      <c r="B126" s="620" t="s">
        <v>171</v>
      </c>
      <c r="C126" s="625">
        <v>30</v>
      </c>
      <c r="D126" s="748">
        <v>92</v>
      </c>
      <c r="E126" s="748">
        <v>366</v>
      </c>
      <c r="F126" s="556">
        <f t="shared" si="18"/>
        <v>0.25136612021857924</v>
      </c>
      <c r="G126" s="552"/>
      <c r="H126" s="623">
        <v>0</v>
      </c>
      <c r="I126" s="553">
        <f t="shared" si="19"/>
        <v>0</v>
      </c>
      <c r="J126" s="553">
        <f t="shared" si="17"/>
        <v>0</v>
      </c>
    </row>
    <row r="127" spans="1:10">
      <c r="A127" s="609">
        <f t="shared" si="16"/>
        <v>97</v>
      </c>
      <c r="B127" s="620" t="s">
        <v>172</v>
      </c>
      <c r="C127" s="625">
        <v>31</v>
      </c>
      <c r="D127" s="748">
        <v>61</v>
      </c>
      <c r="E127" s="748">
        <v>366</v>
      </c>
      <c r="F127" s="556">
        <f t="shared" si="18"/>
        <v>0.16666666666666666</v>
      </c>
      <c r="G127" s="552"/>
      <c r="H127" s="623">
        <v>0</v>
      </c>
      <c r="I127" s="553">
        <f t="shared" si="19"/>
        <v>0</v>
      </c>
      <c r="J127" s="553">
        <f t="shared" si="17"/>
        <v>0</v>
      </c>
    </row>
    <row r="128" spans="1:10">
      <c r="A128" s="609">
        <f t="shared" si="16"/>
        <v>98</v>
      </c>
      <c r="B128" s="620" t="s">
        <v>173</v>
      </c>
      <c r="C128" s="625">
        <v>30</v>
      </c>
      <c r="D128" s="748">
        <v>31</v>
      </c>
      <c r="E128" s="748">
        <v>366</v>
      </c>
      <c r="F128" s="556">
        <f t="shared" si="18"/>
        <v>8.4699453551912565E-2</v>
      </c>
      <c r="G128" s="552"/>
      <c r="H128" s="623">
        <v>0</v>
      </c>
      <c r="I128" s="553">
        <f t="shared" si="19"/>
        <v>0</v>
      </c>
      <c r="J128" s="553">
        <f t="shared" si="17"/>
        <v>0</v>
      </c>
    </row>
    <row r="129" spans="1:11">
      <c r="A129" s="609">
        <f t="shared" si="16"/>
        <v>99</v>
      </c>
      <c r="B129" s="620" t="s">
        <v>518</v>
      </c>
      <c r="C129" s="625">
        <v>31</v>
      </c>
      <c r="D129" s="748">
        <v>1</v>
      </c>
      <c r="E129" s="748">
        <v>366</v>
      </c>
      <c r="F129" s="556">
        <f t="shared" si="18"/>
        <v>2.7322404371584699E-3</v>
      </c>
      <c r="G129" s="552"/>
      <c r="H129" s="623">
        <v>0</v>
      </c>
      <c r="I129" s="553">
        <f t="shared" si="19"/>
        <v>0</v>
      </c>
      <c r="J129" s="553">
        <f t="shared" si="17"/>
        <v>0</v>
      </c>
    </row>
    <row r="130" spans="1:11">
      <c r="A130" s="609">
        <f t="shared" si="16"/>
        <v>100</v>
      </c>
      <c r="B130" s="627"/>
      <c r="C130" s="627" t="s">
        <v>9</v>
      </c>
      <c r="D130" s="627"/>
      <c r="E130" s="627"/>
      <c r="F130" s="628"/>
      <c r="G130" s="621"/>
      <c r="H130" s="629">
        <f>SUM(H118:H129)</f>
        <v>0</v>
      </c>
      <c r="I130" s="629">
        <f>SUM(I118:I129)</f>
        <v>0</v>
      </c>
      <c r="J130" s="628"/>
    </row>
    <row r="131" spans="1:11">
      <c r="B131" s="630"/>
      <c r="C131" s="630"/>
      <c r="D131" s="630"/>
      <c r="E131" s="630"/>
      <c r="F131" s="631"/>
      <c r="G131" s="631"/>
      <c r="I131" s="632"/>
      <c r="J131" s="631"/>
    </row>
    <row r="132" spans="1:11">
      <c r="A132" s="609">
        <f>+A130+1</f>
        <v>101</v>
      </c>
      <c r="B132" s="609" t="s">
        <v>846</v>
      </c>
      <c r="F132" s="609" t="s">
        <v>858</v>
      </c>
      <c r="G132" s="631"/>
      <c r="I132" s="631"/>
      <c r="J132" s="626">
        <v>-5119768</v>
      </c>
    </row>
    <row r="133" spans="1:11">
      <c r="A133" s="609">
        <f>+A132+1</f>
        <v>102</v>
      </c>
      <c r="B133" s="609" t="s">
        <v>848</v>
      </c>
      <c r="F133" s="609" t="str">
        <f>"(Line "&amp;A132&amp;" less line "&amp;A134&amp;")"</f>
        <v>(Line 101 less line 103)</v>
      </c>
      <c r="G133" s="631"/>
      <c r="I133" s="631"/>
      <c r="J133" s="633">
        <f>+J132-J134</f>
        <v>-5119768</v>
      </c>
    </row>
    <row r="134" spans="1:11">
      <c r="A134" s="609">
        <f t="shared" ref="A134:A140" si="20">+A133+1</f>
        <v>103</v>
      </c>
      <c r="B134" s="609" t="s">
        <v>849</v>
      </c>
      <c r="F134" s="609" t="str">
        <f>"(Line "&amp;A117&amp;", Col H)"</f>
        <v>(Line 87, Col H)</v>
      </c>
      <c r="G134" s="631"/>
      <c r="I134" s="631"/>
      <c r="J134" s="622">
        <f>+J117</f>
        <v>0</v>
      </c>
    </row>
    <row r="135" spans="1:11">
      <c r="A135" s="609">
        <f t="shared" si="20"/>
        <v>104</v>
      </c>
      <c r="B135" s="609" t="s">
        <v>850</v>
      </c>
      <c r="F135" s="609" t="s">
        <v>859</v>
      </c>
      <c r="G135" s="631"/>
      <c r="I135" s="631"/>
      <c r="J135" s="644">
        <f>'A3-ADIT'!E14</f>
        <v>-2910131</v>
      </c>
    </row>
    <row r="136" spans="1:11">
      <c r="A136" s="609">
        <f t="shared" si="20"/>
        <v>105</v>
      </c>
      <c r="B136" s="609" t="str">
        <f>+B133</f>
        <v>Less non Prorated Items</v>
      </c>
      <c r="F136" s="609" t="str">
        <f>"(Line "&amp;A135&amp;" less line "&amp;A137&amp;")"</f>
        <v>(Line 104 less line 106)</v>
      </c>
      <c r="G136" s="631"/>
      <c r="I136" s="631"/>
      <c r="J136" s="633">
        <f>+J135-J137</f>
        <v>-2910131</v>
      </c>
    </row>
    <row r="137" spans="1:11">
      <c r="A137" s="609">
        <f t="shared" si="20"/>
        <v>106</v>
      </c>
      <c r="B137" s="609" t="s">
        <v>851</v>
      </c>
      <c r="F137" s="609" t="str">
        <f>"(Line "&amp;A129&amp;", Col H)"</f>
        <v>(Line 99, Col H)</v>
      </c>
      <c r="G137" s="631"/>
      <c r="I137" s="631"/>
      <c r="J137" s="622">
        <f>+J129</f>
        <v>0</v>
      </c>
    </row>
    <row r="138" spans="1:11">
      <c r="A138" s="609">
        <f t="shared" si="20"/>
        <v>107</v>
      </c>
      <c r="B138" s="609" t="s">
        <v>768</v>
      </c>
      <c r="F138" s="609" t="str">
        <f>"([Lines "&amp;A134&amp;" + "&amp;A137&amp;"] /2)+([Lines "&amp;A133&amp;" +"&amp;A136&amp;")/2])"</f>
        <v>([Lines 103 + 106] /2)+([Lines 102 +105)/2])</v>
      </c>
      <c r="G138" s="631"/>
      <c r="I138" s="618"/>
      <c r="J138" s="634">
        <f>(J134+J137)/2+(J133+J136)/2</f>
        <v>-4014949.5</v>
      </c>
    </row>
    <row r="139" spans="1:11">
      <c r="A139" s="609">
        <f t="shared" si="20"/>
        <v>108</v>
      </c>
      <c r="B139" s="609" t="s">
        <v>854</v>
      </c>
      <c r="F139" s="609" t="s">
        <v>861</v>
      </c>
      <c r="G139" s="631"/>
      <c r="I139" s="618"/>
      <c r="J139" s="626">
        <v>0</v>
      </c>
    </row>
    <row r="140" spans="1:11">
      <c r="A140" s="609">
        <f t="shared" si="20"/>
        <v>109</v>
      </c>
      <c r="B140" s="609" t="s">
        <v>864</v>
      </c>
      <c r="F140" s="609" t="str">
        <f>"(Line "&amp;A138&amp;" less line "&amp;A139&amp;")"</f>
        <v>(Line 107 less line 108)</v>
      </c>
      <c r="J140" s="635">
        <f>+J138-J139</f>
        <v>-4014949.5</v>
      </c>
    </row>
    <row r="141" spans="1:11">
      <c r="A141" s="827" t="str">
        <f>A39</f>
        <v>Worksheet P5</v>
      </c>
      <c r="B141" s="827"/>
      <c r="C141" s="827"/>
      <c r="D141" s="827"/>
      <c r="E141" s="827"/>
      <c r="F141" s="827"/>
      <c r="G141" s="827"/>
      <c r="H141" s="827"/>
      <c r="I141" s="827"/>
      <c r="J141" s="827"/>
      <c r="K141" s="827"/>
    </row>
    <row r="142" spans="1:11">
      <c r="A142" s="827" t="str">
        <f>"Excess "&amp;A40</f>
        <v>Excess Accumulated Deferred Income Taxes</v>
      </c>
      <c r="B142" s="827"/>
      <c r="C142" s="827"/>
      <c r="D142" s="827"/>
      <c r="E142" s="827"/>
      <c r="F142" s="827"/>
      <c r="G142" s="827"/>
      <c r="H142" s="827"/>
      <c r="I142" s="827"/>
      <c r="J142" s="827"/>
      <c r="K142" s="827"/>
    </row>
    <row r="143" spans="1:11">
      <c r="A143" s="827" t="str">
        <f>A41</f>
        <v>Cheyenne Light, Fuel &amp; Power</v>
      </c>
      <c r="B143" s="827"/>
      <c r="C143" s="827"/>
      <c r="D143" s="827"/>
      <c r="E143" s="827"/>
      <c r="F143" s="827"/>
      <c r="G143" s="827"/>
      <c r="H143" s="827"/>
      <c r="I143" s="827"/>
      <c r="J143" s="827"/>
      <c r="K143" s="827"/>
    </row>
    <row r="144" spans="1:11">
      <c r="J144" s="611" t="s">
        <v>987</v>
      </c>
    </row>
    <row r="145" spans="1:10">
      <c r="A145" s="646"/>
      <c r="B145" s="646"/>
      <c r="C145" s="646"/>
      <c r="D145" s="646"/>
      <c r="E145" s="646"/>
      <c r="F145" s="646"/>
      <c r="G145" s="646"/>
      <c r="H145" s="646"/>
    </row>
    <row r="146" spans="1:10">
      <c r="A146" s="609">
        <f>A140+1</f>
        <v>110</v>
      </c>
      <c r="B146" s="612" t="s">
        <v>988</v>
      </c>
      <c r="H146" s="613"/>
      <c r="I146" s="613"/>
      <c r="J146" s="613"/>
    </row>
    <row r="147" spans="1:10">
      <c r="A147" s="609">
        <f>+A146+1</f>
        <v>111</v>
      </c>
      <c r="B147" s="828" t="s">
        <v>836</v>
      </c>
      <c r="C147" s="829"/>
      <c r="D147" s="829"/>
      <c r="E147" s="829"/>
      <c r="F147" s="830"/>
      <c r="G147" s="615"/>
      <c r="H147" s="828" t="s">
        <v>837</v>
      </c>
      <c r="I147" s="829"/>
      <c r="J147" s="830"/>
    </row>
    <row r="148" spans="1:10">
      <c r="B148" s="616" t="s">
        <v>79</v>
      </c>
      <c r="C148" s="616" t="s">
        <v>80</v>
      </c>
      <c r="D148" s="616" t="s">
        <v>81</v>
      </c>
      <c r="E148" s="616" t="s">
        <v>82</v>
      </c>
      <c r="F148" s="616" t="s">
        <v>83</v>
      </c>
      <c r="G148" s="615"/>
      <c r="H148" s="616" t="s">
        <v>84</v>
      </c>
      <c r="I148" s="616" t="s">
        <v>85</v>
      </c>
      <c r="J148" s="616" t="s">
        <v>449</v>
      </c>
    </row>
    <row r="149" spans="1:10" ht="51">
      <c r="A149" s="609">
        <f>+A147+1</f>
        <v>112</v>
      </c>
      <c r="B149" s="617" t="s">
        <v>268</v>
      </c>
      <c r="C149" s="617" t="s">
        <v>838</v>
      </c>
      <c r="D149" s="617" t="s">
        <v>839</v>
      </c>
      <c r="E149" s="617" t="s">
        <v>840</v>
      </c>
      <c r="F149" s="617" t="s">
        <v>841</v>
      </c>
      <c r="G149" s="618"/>
      <c r="H149" s="617" t="s">
        <v>842</v>
      </c>
      <c r="I149" s="617" t="s">
        <v>843</v>
      </c>
      <c r="J149" s="617" t="s">
        <v>844</v>
      </c>
    </row>
    <row r="150" spans="1:10">
      <c r="A150" s="609">
        <f t="shared" ref="A150:A164" si="21">+A149+1</f>
        <v>113</v>
      </c>
      <c r="C150" s="618"/>
      <c r="D150" s="618"/>
      <c r="E150" s="618"/>
      <c r="F150" s="618"/>
      <c r="G150" s="618"/>
      <c r="H150" s="618"/>
      <c r="I150" s="618"/>
      <c r="J150" s="618"/>
    </row>
    <row r="151" spans="1:10">
      <c r="A151" s="609">
        <f t="shared" si="21"/>
        <v>114</v>
      </c>
      <c r="B151" s="619" t="s">
        <v>845</v>
      </c>
      <c r="C151" s="620"/>
      <c r="D151" s="621"/>
      <c r="E151" s="621"/>
      <c r="F151" s="621"/>
      <c r="G151" s="621"/>
      <c r="H151" s="622"/>
      <c r="I151" s="622"/>
      <c r="J151" s="623"/>
    </row>
    <row r="152" spans="1:10">
      <c r="A152" s="609">
        <f t="shared" si="21"/>
        <v>115</v>
      </c>
      <c r="B152" s="620" t="s">
        <v>165</v>
      </c>
      <c r="C152" s="625">
        <v>31</v>
      </c>
      <c r="D152" s="748">
        <v>335</v>
      </c>
      <c r="E152" s="748">
        <v>366</v>
      </c>
      <c r="F152" s="556">
        <f>IF(E152=0,0,D152/E152)</f>
        <v>0.91530054644808745</v>
      </c>
      <c r="G152" s="552"/>
      <c r="H152" s="647">
        <f>'A4-Rate Base'!G111/12</f>
        <v>99757.333333333328</v>
      </c>
      <c r="I152" s="553">
        <f>+H152*F152</f>
        <v>91307.941712204003</v>
      </c>
      <c r="J152" s="585">
        <f t="shared" ref="J152:J163" si="22">+I152+J151</f>
        <v>91307.941712204003</v>
      </c>
    </row>
    <row r="153" spans="1:10">
      <c r="A153" s="609">
        <f t="shared" si="21"/>
        <v>116</v>
      </c>
      <c r="B153" s="620" t="s">
        <v>166</v>
      </c>
      <c r="C153" s="626">
        <v>28</v>
      </c>
      <c r="D153" s="748">
        <v>306</v>
      </c>
      <c r="E153" s="748">
        <v>366</v>
      </c>
      <c r="F153" s="556">
        <f t="shared" ref="F153:F163" si="23">IF(E153=0,0,D153/E153)</f>
        <v>0.83606557377049184</v>
      </c>
      <c r="G153" s="552"/>
      <c r="H153" s="647">
        <f>H152</f>
        <v>99757.333333333328</v>
      </c>
      <c r="I153" s="553">
        <f t="shared" ref="I153:I163" si="24">+H153*F153</f>
        <v>83403.672131147541</v>
      </c>
      <c r="J153" s="585">
        <f t="shared" si="22"/>
        <v>174711.61384335154</v>
      </c>
    </row>
    <row r="154" spans="1:10">
      <c r="A154" s="609">
        <f t="shared" si="21"/>
        <v>117</v>
      </c>
      <c r="B154" s="620" t="s">
        <v>516</v>
      </c>
      <c r="C154" s="625">
        <v>31</v>
      </c>
      <c r="D154" s="748">
        <v>275</v>
      </c>
      <c r="E154" s="748">
        <v>366</v>
      </c>
      <c r="F154" s="556">
        <f t="shared" si="23"/>
        <v>0.75136612021857918</v>
      </c>
      <c r="G154" s="552"/>
      <c r="H154" s="647">
        <f t="shared" ref="H154:H163" si="25">H153</f>
        <v>99757.333333333328</v>
      </c>
      <c r="I154" s="553">
        <f t="shared" si="24"/>
        <v>74954.280510018201</v>
      </c>
      <c r="J154" s="585">
        <f t="shared" si="22"/>
        <v>249665.89435336975</v>
      </c>
    </row>
    <row r="155" spans="1:10">
      <c r="A155" s="609">
        <f t="shared" si="21"/>
        <v>118</v>
      </c>
      <c r="B155" s="620" t="s">
        <v>167</v>
      </c>
      <c r="C155" s="625">
        <v>30</v>
      </c>
      <c r="D155" s="748">
        <v>245</v>
      </c>
      <c r="E155" s="748">
        <v>366</v>
      </c>
      <c r="F155" s="556">
        <f t="shared" si="23"/>
        <v>0.6693989071038251</v>
      </c>
      <c r="G155" s="552"/>
      <c r="H155" s="647">
        <f t="shared" si="25"/>
        <v>99757.333333333328</v>
      </c>
      <c r="I155" s="553">
        <f t="shared" si="24"/>
        <v>66777.449908925308</v>
      </c>
      <c r="J155" s="585">
        <f t="shared" si="22"/>
        <v>316443.34426229505</v>
      </c>
    </row>
    <row r="156" spans="1:10">
      <c r="A156" s="609">
        <f t="shared" si="21"/>
        <v>119</v>
      </c>
      <c r="B156" s="620" t="s">
        <v>168</v>
      </c>
      <c r="C156" s="625">
        <v>31</v>
      </c>
      <c r="D156" s="748">
        <v>214</v>
      </c>
      <c r="E156" s="748">
        <v>366</v>
      </c>
      <c r="F156" s="556">
        <f t="shared" si="23"/>
        <v>0.58469945355191255</v>
      </c>
      <c r="G156" s="552"/>
      <c r="H156" s="647">
        <f t="shared" si="25"/>
        <v>99757.333333333328</v>
      </c>
      <c r="I156" s="553">
        <f t="shared" si="24"/>
        <v>58328.05828779599</v>
      </c>
      <c r="J156" s="585">
        <f t="shared" si="22"/>
        <v>374771.40255009104</v>
      </c>
    </row>
    <row r="157" spans="1:10">
      <c r="A157" s="609">
        <f t="shared" si="21"/>
        <v>120</v>
      </c>
      <c r="B157" s="620" t="s">
        <v>169</v>
      </c>
      <c r="C157" s="625">
        <v>30</v>
      </c>
      <c r="D157" s="748">
        <v>184</v>
      </c>
      <c r="E157" s="748">
        <v>366</v>
      </c>
      <c r="F157" s="556">
        <f t="shared" si="23"/>
        <v>0.50273224043715847</v>
      </c>
      <c r="G157" s="552"/>
      <c r="H157" s="647">
        <f t="shared" si="25"/>
        <v>99757.333333333328</v>
      </c>
      <c r="I157" s="553">
        <f t="shared" si="24"/>
        <v>50151.227686703096</v>
      </c>
      <c r="J157" s="585">
        <f t="shared" si="22"/>
        <v>424922.63023679412</v>
      </c>
    </row>
    <row r="158" spans="1:10">
      <c r="A158" s="609">
        <f t="shared" si="21"/>
        <v>121</v>
      </c>
      <c r="B158" s="620" t="s">
        <v>170</v>
      </c>
      <c r="C158" s="625">
        <v>31</v>
      </c>
      <c r="D158" s="748">
        <v>153</v>
      </c>
      <c r="E158" s="748">
        <v>366</v>
      </c>
      <c r="F158" s="556">
        <f t="shared" si="23"/>
        <v>0.41803278688524592</v>
      </c>
      <c r="G158" s="552"/>
      <c r="H158" s="647">
        <f t="shared" si="25"/>
        <v>99757.333333333328</v>
      </c>
      <c r="I158" s="553">
        <f t="shared" si="24"/>
        <v>41701.836065573771</v>
      </c>
      <c r="J158" s="585">
        <f t="shared" si="22"/>
        <v>466624.46630236792</v>
      </c>
    </row>
    <row r="159" spans="1:10">
      <c r="A159" s="609">
        <f t="shared" si="21"/>
        <v>122</v>
      </c>
      <c r="B159" s="620" t="s">
        <v>517</v>
      </c>
      <c r="C159" s="625">
        <v>31</v>
      </c>
      <c r="D159" s="748">
        <v>122</v>
      </c>
      <c r="E159" s="748">
        <v>366</v>
      </c>
      <c r="F159" s="556">
        <f t="shared" si="23"/>
        <v>0.33333333333333331</v>
      </c>
      <c r="G159" s="552"/>
      <c r="H159" s="647">
        <f t="shared" si="25"/>
        <v>99757.333333333328</v>
      </c>
      <c r="I159" s="553">
        <f t="shared" si="24"/>
        <v>33252.444444444438</v>
      </c>
      <c r="J159" s="585">
        <f t="shared" si="22"/>
        <v>499876.91074681235</v>
      </c>
    </row>
    <row r="160" spans="1:10">
      <c r="A160" s="609">
        <f t="shared" si="21"/>
        <v>123</v>
      </c>
      <c r="B160" s="620" t="s">
        <v>171</v>
      </c>
      <c r="C160" s="625">
        <v>30</v>
      </c>
      <c r="D160" s="748">
        <v>92</v>
      </c>
      <c r="E160" s="748">
        <v>366</v>
      </c>
      <c r="F160" s="556">
        <f t="shared" si="23"/>
        <v>0.25136612021857924</v>
      </c>
      <c r="G160" s="552"/>
      <c r="H160" s="647">
        <f t="shared" si="25"/>
        <v>99757.333333333328</v>
      </c>
      <c r="I160" s="553">
        <f t="shared" si="24"/>
        <v>25075.613843351548</v>
      </c>
      <c r="J160" s="585">
        <f t="shared" si="22"/>
        <v>524952.52459016396</v>
      </c>
    </row>
    <row r="161" spans="1:14">
      <c r="A161" s="609">
        <f t="shared" si="21"/>
        <v>124</v>
      </c>
      <c r="B161" s="620" t="s">
        <v>172</v>
      </c>
      <c r="C161" s="625">
        <v>31</v>
      </c>
      <c r="D161" s="748">
        <v>61</v>
      </c>
      <c r="E161" s="748">
        <v>366</v>
      </c>
      <c r="F161" s="556">
        <f t="shared" si="23"/>
        <v>0.16666666666666666</v>
      </c>
      <c r="G161" s="552"/>
      <c r="H161" s="647">
        <f t="shared" si="25"/>
        <v>99757.333333333328</v>
      </c>
      <c r="I161" s="553">
        <f t="shared" si="24"/>
        <v>16626.222222222219</v>
      </c>
      <c r="J161" s="585">
        <f t="shared" si="22"/>
        <v>541578.74681238621</v>
      </c>
    </row>
    <row r="162" spans="1:14">
      <c r="A162" s="609">
        <f t="shared" si="21"/>
        <v>125</v>
      </c>
      <c r="B162" s="620" t="s">
        <v>173</v>
      </c>
      <c r="C162" s="625">
        <v>30</v>
      </c>
      <c r="D162" s="748">
        <v>31</v>
      </c>
      <c r="E162" s="748">
        <v>366</v>
      </c>
      <c r="F162" s="556">
        <f t="shared" si="23"/>
        <v>8.4699453551912565E-2</v>
      </c>
      <c r="G162" s="552"/>
      <c r="H162" s="647">
        <f t="shared" si="25"/>
        <v>99757.333333333328</v>
      </c>
      <c r="I162" s="553">
        <f t="shared" si="24"/>
        <v>8449.3916211293254</v>
      </c>
      <c r="J162" s="585">
        <f t="shared" si="22"/>
        <v>550028.13843351556</v>
      </c>
    </row>
    <row r="163" spans="1:14">
      <c r="A163" s="609">
        <f t="shared" si="21"/>
        <v>126</v>
      </c>
      <c r="B163" s="620" t="s">
        <v>518</v>
      </c>
      <c r="C163" s="625">
        <v>31</v>
      </c>
      <c r="D163" s="748">
        <v>1</v>
      </c>
      <c r="E163" s="748">
        <v>366</v>
      </c>
      <c r="F163" s="556">
        <f t="shared" si="23"/>
        <v>2.7322404371584699E-3</v>
      </c>
      <c r="G163" s="552"/>
      <c r="H163" s="647">
        <f t="shared" si="25"/>
        <v>99757.333333333328</v>
      </c>
      <c r="I163" s="553">
        <f t="shared" si="24"/>
        <v>272.56102003642985</v>
      </c>
      <c r="J163" s="585">
        <f t="shared" si="22"/>
        <v>550300.69945355202</v>
      </c>
      <c r="L163" s="643"/>
    </row>
    <row r="164" spans="1:14">
      <c r="A164" s="609">
        <f t="shared" si="21"/>
        <v>127</v>
      </c>
      <c r="B164" s="627"/>
      <c r="C164" s="627" t="s">
        <v>9</v>
      </c>
      <c r="D164" s="627"/>
      <c r="E164" s="627"/>
      <c r="F164" s="628"/>
      <c r="G164" s="621"/>
      <c r="H164" s="629">
        <f>SUM(H152:H163)</f>
        <v>1197088</v>
      </c>
      <c r="I164" s="629">
        <f>SUM(I152:I163)</f>
        <v>550300.69945355202</v>
      </c>
      <c r="J164" s="628"/>
    </row>
    <row r="165" spans="1:14">
      <c r="B165" s="630"/>
      <c r="C165" s="630"/>
      <c r="D165" s="630"/>
      <c r="E165" s="630"/>
      <c r="F165" s="631"/>
      <c r="G165" s="631"/>
      <c r="I165" s="651"/>
      <c r="J165" s="631"/>
    </row>
    <row r="166" spans="1:14">
      <c r="A166" s="609">
        <f>+A164+1</f>
        <v>128</v>
      </c>
      <c r="B166" s="609" t="s">
        <v>989</v>
      </c>
      <c r="F166" s="609" t="s">
        <v>990</v>
      </c>
      <c r="G166" s="631"/>
      <c r="I166" s="631"/>
      <c r="J166" s="626">
        <v>-36263033.57</v>
      </c>
      <c r="M166" s="643"/>
      <c r="N166" s="645"/>
    </row>
    <row r="167" spans="1:14">
      <c r="A167" s="609">
        <f t="shared" ref="A167:A173" si="26">+A166+1</f>
        <v>129</v>
      </c>
      <c r="B167" s="609" t="s">
        <v>900</v>
      </c>
      <c r="F167" s="609" t="s">
        <v>918</v>
      </c>
      <c r="G167" s="631"/>
      <c r="I167" s="631"/>
      <c r="J167" s="626">
        <v>1515301.2658227845</v>
      </c>
    </row>
    <row r="168" spans="1:14">
      <c r="A168" s="609">
        <f t="shared" si="26"/>
        <v>130</v>
      </c>
      <c r="B168" s="609" t="s">
        <v>991</v>
      </c>
      <c r="F168" s="609" t="s">
        <v>992</v>
      </c>
      <c r="G168" s="631"/>
      <c r="I168" s="631"/>
      <c r="J168" s="644">
        <f>J166+J167</f>
        <v>-34747732.304177217</v>
      </c>
    </row>
    <row r="169" spans="1:14">
      <c r="A169" s="609">
        <f t="shared" si="26"/>
        <v>131</v>
      </c>
      <c r="B169" s="609" t="s">
        <v>993</v>
      </c>
      <c r="F169" s="619" t="s">
        <v>994</v>
      </c>
      <c r="G169" s="631"/>
      <c r="I169" s="631"/>
      <c r="J169" s="633">
        <f>J168</f>
        <v>-34747732.304177217</v>
      </c>
      <c r="L169" s="643"/>
    </row>
    <row r="170" spans="1:14">
      <c r="A170" s="609">
        <f t="shared" si="26"/>
        <v>132</v>
      </c>
      <c r="B170" s="609" t="s">
        <v>851</v>
      </c>
      <c r="F170" s="609" t="s">
        <v>1008</v>
      </c>
      <c r="G170" s="631"/>
      <c r="I170" s="618"/>
      <c r="J170" s="634">
        <f>J163</f>
        <v>550300.69945355202</v>
      </c>
    </row>
    <row r="171" spans="1:14">
      <c r="A171" s="609">
        <f t="shared" si="26"/>
        <v>133</v>
      </c>
      <c r="B171" s="609" t="s">
        <v>901</v>
      </c>
      <c r="F171" s="609" t="s">
        <v>995</v>
      </c>
      <c r="G171" s="631"/>
      <c r="I171" s="618"/>
      <c r="J171" s="644">
        <f>J169+J170</f>
        <v>-34197431.604723662</v>
      </c>
    </row>
    <row r="172" spans="1:14">
      <c r="A172" s="609">
        <f t="shared" si="26"/>
        <v>134</v>
      </c>
      <c r="B172" s="609" t="s">
        <v>854</v>
      </c>
      <c r="F172" s="609" t="s">
        <v>918</v>
      </c>
      <c r="G172" s="631"/>
      <c r="I172" s="618"/>
      <c r="J172" s="644">
        <v>0</v>
      </c>
    </row>
    <row r="173" spans="1:14">
      <c r="A173" s="609">
        <f t="shared" si="26"/>
        <v>135</v>
      </c>
      <c r="B173" s="609" t="s">
        <v>1000</v>
      </c>
      <c r="F173" s="609" t="s">
        <v>996</v>
      </c>
      <c r="J173" s="645">
        <f>J171-J172</f>
        <v>-34197431.604723662</v>
      </c>
    </row>
    <row r="174" spans="1:14">
      <c r="A174" s="609">
        <v>127</v>
      </c>
      <c r="B174" s="609" t="s">
        <v>1007</v>
      </c>
      <c r="J174" s="653">
        <v>7.9579999999999998E-2</v>
      </c>
    </row>
    <row r="175" spans="1:14">
      <c r="A175" s="609">
        <v>128</v>
      </c>
      <c r="B175" s="612" t="s">
        <v>864</v>
      </c>
      <c r="J175" s="635">
        <f>J173*J174</f>
        <v>-2721431.6071039089</v>
      </c>
      <c r="L175" s="643"/>
      <c r="M175" s="645"/>
      <c r="N175" s="643"/>
    </row>
    <row r="176" spans="1:14">
      <c r="J176" s="649"/>
      <c r="M176" s="643"/>
      <c r="N176" s="643"/>
    </row>
    <row r="177" spans="10:12">
      <c r="J177" s="650"/>
      <c r="L177" s="650"/>
    </row>
  </sheetData>
  <mergeCells count="25">
    <mergeCell ref="B147:F147"/>
    <mergeCell ref="H147:J147"/>
    <mergeCell ref="A75:K75"/>
    <mergeCell ref="B79:F79"/>
    <mergeCell ref="H79:J79"/>
    <mergeCell ref="A107:K107"/>
    <mergeCell ref="A108:K108"/>
    <mergeCell ref="A109:K109"/>
    <mergeCell ref="B113:F113"/>
    <mergeCell ref="H113:J113"/>
    <mergeCell ref="A141:K141"/>
    <mergeCell ref="A142:K142"/>
    <mergeCell ref="A143:K143"/>
    <mergeCell ref="A74:K74"/>
    <mergeCell ref="A1:K1"/>
    <mergeCell ref="A2:K2"/>
    <mergeCell ref="A3:K3"/>
    <mergeCell ref="B7:F7"/>
    <mergeCell ref="H7:J7"/>
    <mergeCell ref="A39:K39"/>
    <mergeCell ref="A40:K40"/>
    <mergeCell ref="A41:K41"/>
    <mergeCell ref="B45:F45"/>
    <mergeCell ref="H45:J45"/>
    <mergeCell ref="A73:K73"/>
  </mergeCells>
  <printOptions horizontalCentered="1"/>
  <pageMargins left="0.45" right="0.45" top="0.5" bottom="0.5" header="0.3" footer="0.3"/>
  <pageSetup scale="96" fitToHeight="0" orientation="portrait" r:id="rId1"/>
  <rowBreaks count="4" manualBreakCount="4">
    <brk id="38" max="9" man="1"/>
    <brk id="72" max="9" man="1"/>
    <brk id="106" max="9" man="1"/>
    <brk id="140" max="9" man="1"/>
  </rowBreaks>
  <ignoredErrors>
    <ignoredError sqref="J32 J103"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4">
    <tabColor rgb="FFFFFF99"/>
    <pageSetUpPr fitToPage="1"/>
  </sheetPr>
  <dimension ref="A1:F161"/>
  <sheetViews>
    <sheetView topLeftCell="A10" workbookViewId="0">
      <selection activeCell="A52" sqref="A52"/>
    </sheetView>
  </sheetViews>
  <sheetFormatPr defaultColWidth="8.77734375" defaultRowHeight="12.75"/>
  <cols>
    <col min="1" max="1" width="5.77734375" style="367" bestFit="1" customWidth="1"/>
    <col min="2" max="2" width="50.21875" style="367" customWidth="1"/>
    <col min="3" max="3" width="19.5546875" style="369" bestFit="1" customWidth="1"/>
    <col min="4" max="4" width="12.109375" style="372" customWidth="1"/>
    <col min="5" max="5" width="7.5546875" style="367" bestFit="1" customWidth="1"/>
    <col min="6" max="16384" width="8.77734375" style="367"/>
  </cols>
  <sheetData>
    <row r="1" spans="1:6">
      <c r="A1" s="784" t="s">
        <v>736</v>
      </c>
      <c r="B1" s="784"/>
      <c r="C1" s="784"/>
      <c r="D1" s="784"/>
      <c r="E1" s="784"/>
      <c r="F1" s="216"/>
    </row>
    <row r="2" spans="1:6">
      <c r="A2" s="784" t="s">
        <v>737</v>
      </c>
      <c r="B2" s="784"/>
      <c r="C2" s="784"/>
      <c r="D2" s="784"/>
      <c r="E2" s="784"/>
      <c r="F2" s="216"/>
    </row>
    <row r="3" spans="1:6">
      <c r="A3" s="785" t="str">
        <f>'Act Att-H'!C7</f>
        <v>Cheyenne Light, Fuel &amp; Power</v>
      </c>
      <c r="B3" s="785"/>
      <c r="C3" s="785"/>
      <c r="D3" s="785"/>
      <c r="E3" s="785"/>
      <c r="F3" s="228"/>
    </row>
    <row r="4" spans="1:6" ht="12.75" customHeight="1">
      <c r="A4" s="368"/>
      <c r="D4" s="370" t="s">
        <v>241</v>
      </c>
      <c r="E4" s="370"/>
    </row>
    <row r="6" spans="1:6">
      <c r="A6" s="432" t="s">
        <v>507</v>
      </c>
      <c r="B6" s="432" t="s">
        <v>191</v>
      </c>
      <c r="C6" s="377" t="s">
        <v>578</v>
      </c>
      <c r="D6" s="433" t="s">
        <v>7</v>
      </c>
    </row>
    <row r="7" spans="1:6">
      <c r="C7" s="440"/>
    </row>
    <row r="8" spans="1:6">
      <c r="A8" s="369">
        <v>1</v>
      </c>
      <c r="B8" s="371" t="s">
        <v>787</v>
      </c>
      <c r="C8" s="440"/>
    </row>
    <row r="9" spans="1:6">
      <c r="A9" s="369">
        <f>A8+1</f>
        <v>2</v>
      </c>
      <c r="B9" s="373" t="s">
        <v>735</v>
      </c>
      <c r="C9" s="440" t="s">
        <v>548</v>
      </c>
      <c r="D9" s="749">
        <f>100356+224713+62025+0+227003+582-148944+87995</f>
        <v>553730</v>
      </c>
    </row>
    <row r="10" spans="1:6">
      <c r="A10" s="369">
        <f t="shared" ref="A10:A41" si="0">A9+1</f>
        <v>3</v>
      </c>
      <c r="B10" s="375" t="s">
        <v>734</v>
      </c>
      <c r="C10" s="440" t="s">
        <v>738</v>
      </c>
      <c r="D10" s="749">
        <v>0</v>
      </c>
    </row>
    <row r="11" spans="1:6">
      <c r="A11" s="369">
        <f t="shared" si="0"/>
        <v>4</v>
      </c>
      <c r="B11" s="376" t="s">
        <v>733</v>
      </c>
      <c r="C11" s="440" t="s">
        <v>739</v>
      </c>
      <c r="D11" s="749">
        <v>227003</v>
      </c>
    </row>
    <row r="12" spans="1:6">
      <c r="A12" s="369">
        <f t="shared" si="0"/>
        <v>5</v>
      </c>
      <c r="B12" s="376" t="s">
        <v>732</v>
      </c>
      <c r="C12" s="440" t="s">
        <v>740</v>
      </c>
      <c r="D12" s="749">
        <v>582</v>
      </c>
    </row>
    <row r="13" spans="1:6">
      <c r="A13" s="369">
        <f t="shared" si="0"/>
        <v>6</v>
      </c>
      <c r="B13" s="376" t="s">
        <v>731</v>
      </c>
      <c r="C13" s="440" t="s">
        <v>741</v>
      </c>
      <c r="D13" s="749">
        <v>-148944</v>
      </c>
    </row>
    <row r="14" spans="1:6">
      <c r="A14" s="369">
        <f t="shared" si="0"/>
        <v>7</v>
      </c>
      <c r="B14" s="376" t="s">
        <v>730</v>
      </c>
      <c r="C14" s="440" t="s">
        <v>742</v>
      </c>
      <c r="D14" s="749">
        <v>87995</v>
      </c>
    </row>
    <row r="15" spans="1:6">
      <c r="A15" s="369">
        <f t="shared" si="0"/>
        <v>8</v>
      </c>
      <c r="B15" s="436" t="s">
        <v>784</v>
      </c>
      <c r="C15" s="751" t="s">
        <v>1215</v>
      </c>
      <c r="D15" s="435">
        <f>D9-D10-D11-D12-D13-D14</f>
        <v>387094</v>
      </c>
    </row>
    <row r="16" spans="1:6">
      <c r="A16" s="369">
        <f t="shared" si="0"/>
        <v>9</v>
      </c>
      <c r="B16" s="373"/>
      <c r="D16" s="374"/>
    </row>
    <row r="17" spans="1:6">
      <c r="A17" s="369">
        <f t="shared" si="0"/>
        <v>10</v>
      </c>
      <c r="B17" s="373" t="s">
        <v>795</v>
      </c>
      <c r="C17" s="440" t="s">
        <v>807</v>
      </c>
      <c r="D17" s="174">
        <f>'A1-RevCred'!H48</f>
        <v>0</v>
      </c>
    </row>
    <row r="18" spans="1:6">
      <c r="A18" s="369">
        <f t="shared" si="0"/>
        <v>11</v>
      </c>
      <c r="B18" s="373"/>
      <c r="D18" s="374"/>
    </row>
    <row r="19" spans="1:6">
      <c r="A19" s="369">
        <f t="shared" si="0"/>
        <v>12</v>
      </c>
      <c r="B19" s="373" t="s">
        <v>797</v>
      </c>
      <c r="C19" s="440" t="s">
        <v>1216</v>
      </c>
      <c r="D19" s="442">
        <f>D15-D17</f>
        <v>387094</v>
      </c>
    </row>
    <row r="20" spans="1:6">
      <c r="A20" s="369">
        <f t="shared" si="0"/>
        <v>13</v>
      </c>
      <c r="B20" s="373"/>
      <c r="C20" s="440"/>
      <c r="D20" s="441"/>
    </row>
    <row r="21" spans="1:6">
      <c r="A21" s="369">
        <f t="shared" si="0"/>
        <v>14</v>
      </c>
      <c r="B21" s="371" t="s">
        <v>796</v>
      </c>
      <c r="D21" s="374"/>
    </row>
    <row r="22" spans="1:6">
      <c r="A22" s="369">
        <f t="shared" si="0"/>
        <v>15</v>
      </c>
      <c r="B22" s="240" t="s">
        <v>791</v>
      </c>
      <c r="C22" s="440" t="s">
        <v>794</v>
      </c>
      <c r="D22" s="438">
        <f>D15</f>
        <v>387094</v>
      </c>
    </row>
    <row r="23" spans="1:6">
      <c r="A23" s="369">
        <f t="shared" si="0"/>
        <v>16</v>
      </c>
      <c r="B23" s="240" t="s">
        <v>826</v>
      </c>
      <c r="C23" s="440" t="s">
        <v>828</v>
      </c>
      <c r="D23" s="434">
        <v>318876</v>
      </c>
    </row>
    <row r="24" spans="1:6">
      <c r="A24" s="369">
        <f t="shared" si="0"/>
        <v>17</v>
      </c>
      <c r="B24" s="240" t="s">
        <v>286</v>
      </c>
      <c r="C24" s="440" t="s">
        <v>798</v>
      </c>
      <c r="D24" s="439">
        <f>D22-D23</f>
        <v>68218</v>
      </c>
    </row>
    <row r="25" spans="1:6" s="240" customFormat="1">
      <c r="A25" s="369">
        <f t="shared" si="0"/>
        <v>18</v>
      </c>
      <c r="B25" s="240" t="s">
        <v>792</v>
      </c>
      <c r="C25" s="244" t="s">
        <v>818</v>
      </c>
      <c r="D25" s="265">
        <f>'TU-TrueUp'!H53</f>
        <v>5.5800000000000002E-2</v>
      </c>
    </row>
    <row r="26" spans="1:6" s="240" customFormat="1">
      <c r="A26" s="369">
        <f t="shared" si="0"/>
        <v>19</v>
      </c>
      <c r="B26" s="240" t="s">
        <v>793</v>
      </c>
      <c r="C26" s="240" t="s">
        <v>947</v>
      </c>
      <c r="D26" s="267">
        <f>D25*D24*24/12</f>
        <v>7613.1288000000013</v>
      </c>
    </row>
    <row r="27" spans="1:6" s="240" customFormat="1">
      <c r="A27" s="369">
        <f t="shared" si="0"/>
        <v>20</v>
      </c>
      <c r="B27" s="244" t="s">
        <v>554</v>
      </c>
      <c r="C27" s="244" t="s">
        <v>799</v>
      </c>
      <c r="D27" s="443">
        <f>(D24+D26)</f>
        <v>75831.128800000006</v>
      </c>
      <c r="E27" s="241"/>
    </row>
    <row r="28" spans="1:6" s="240" customFormat="1">
      <c r="A28" s="369">
        <f t="shared" si="0"/>
        <v>21</v>
      </c>
      <c r="B28" s="243"/>
      <c r="C28" s="244"/>
      <c r="E28" s="241"/>
      <c r="F28" s="437"/>
    </row>
    <row r="29" spans="1:6" s="240" customFormat="1" ht="13.5" thickBot="1">
      <c r="A29" s="369">
        <f t="shared" si="0"/>
        <v>22</v>
      </c>
      <c r="B29" s="243" t="s">
        <v>790</v>
      </c>
      <c r="C29" s="244" t="s">
        <v>827</v>
      </c>
      <c r="D29" s="447">
        <f>D19+D27</f>
        <v>462925.12880000001</v>
      </c>
      <c r="E29" s="241"/>
      <c r="F29" s="437"/>
    </row>
    <row r="30" spans="1:6" s="240" customFormat="1" ht="13.5" thickTop="1">
      <c r="A30" s="369">
        <f t="shared" si="0"/>
        <v>23</v>
      </c>
      <c r="B30" s="243"/>
      <c r="C30" s="244"/>
      <c r="E30" s="241"/>
      <c r="F30" s="437"/>
    </row>
    <row r="31" spans="1:6">
      <c r="A31" s="369">
        <f t="shared" si="0"/>
        <v>24</v>
      </c>
      <c r="B31" s="371" t="s">
        <v>197</v>
      </c>
      <c r="C31" s="71"/>
      <c r="D31" s="107"/>
      <c r="E31" s="71"/>
      <c r="F31" s="71"/>
    </row>
    <row r="32" spans="1:6">
      <c r="A32" s="369">
        <f t="shared" si="0"/>
        <v>25</v>
      </c>
      <c r="B32" s="71" t="s">
        <v>255</v>
      </c>
      <c r="C32" s="103" t="s">
        <v>568</v>
      </c>
      <c r="D32" s="174">
        <f>'P3-Divisor'!G24</f>
        <v>282555.29522024363</v>
      </c>
      <c r="E32" s="71"/>
      <c r="F32" s="71"/>
    </row>
    <row r="33" spans="1:6">
      <c r="A33" s="369">
        <f t="shared" si="0"/>
        <v>26</v>
      </c>
      <c r="B33" s="71"/>
      <c r="C33" s="107"/>
      <c r="D33" s="107"/>
      <c r="E33" s="107"/>
      <c r="F33" s="107"/>
    </row>
    <row r="34" spans="1:6">
      <c r="A34" s="369">
        <f t="shared" si="0"/>
        <v>27</v>
      </c>
      <c r="B34" s="371" t="s">
        <v>152</v>
      </c>
      <c r="C34" s="107"/>
      <c r="D34" s="107"/>
      <c r="E34" s="107"/>
      <c r="F34" s="107"/>
    </row>
    <row r="35" spans="1:6">
      <c r="A35" s="369">
        <f t="shared" si="0"/>
        <v>28</v>
      </c>
      <c r="B35" s="71" t="s">
        <v>256</v>
      </c>
      <c r="C35" s="71"/>
      <c r="D35" s="577">
        <f>ROUND(D29/D32,2)</f>
        <v>1.64</v>
      </c>
      <c r="E35" s="71" t="s">
        <v>245</v>
      </c>
      <c r="F35" s="107"/>
    </row>
    <row r="36" spans="1:6">
      <c r="A36" s="369">
        <f t="shared" si="0"/>
        <v>29</v>
      </c>
      <c r="B36" s="71" t="s">
        <v>257</v>
      </c>
      <c r="C36" s="71" t="s">
        <v>788</v>
      </c>
      <c r="D36" s="577">
        <f>ROUND(D35/12,2)</f>
        <v>0.14000000000000001</v>
      </c>
      <c r="E36" s="71" t="s">
        <v>246</v>
      </c>
      <c r="F36" s="107"/>
    </row>
    <row r="37" spans="1:6">
      <c r="A37" s="369">
        <f t="shared" si="0"/>
        <v>30</v>
      </c>
      <c r="B37" s="71" t="s">
        <v>258</v>
      </c>
      <c r="C37" s="71" t="s">
        <v>789</v>
      </c>
      <c r="D37" s="577">
        <f>ROUND(D35/52,2)</f>
        <v>0.03</v>
      </c>
      <c r="E37" s="71" t="s">
        <v>247</v>
      </c>
      <c r="F37" s="107"/>
    </row>
    <row r="38" spans="1:6">
      <c r="A38" s="369">
        <f t="shared" si="0"/>
        <v>31</v>
      </c>
      <c r="B38" s="71" t="s">
        <v>259</v>
      </c>
      <c r="C38" s="71" t="s">
        <v>248</v>
      </c>
      <c r="D38" s="578">
        <f>+D37/6</f>
        <v>5.0000000000000001E-3</v>
      </c>
      <c r="E38" s="71" t="s">
        <v>249</v>
      </c>
      <c r="F38" s="107"/>
    </row>
    <row r="39" spans="1:6">
      <c r="A39" s="369">
        <f t="shared" si="0"/>
        <v>32</v>
      </c>
      <c r="B39" s="71" t="s">
        <v>260</v>
      </c>
      <c r="C39" s="71" t="s">
        <v>250</v>
      </c>
      <c r="D39" s="578">
        <f>+D37/7</f>
        <v>4.2857142857142859E-3</v>
      </c>
      <c r="E39" s="71" t="s">
        <v>249</v>
      </c>
      <c r="F39" s="107"/>
    </row>
    <row r="40" spans="1:6">
      <c r="A40" s="369">
        <f t="shared" si="0"/>
        <v>33</v>
      </c>
      <c r="B40" s="71" t="s">
        <v>261</v>
      </c>
      <c r="C40" s="71" t="s">
        <v>251</v>
      </c>
      <c r="D40" s="577">
        <f>+D38/16*1000</f>
        <v>0.3125</v>
      </c>
      <c r="E40" s="71" t="s">
        <v>895</v>
      </c>
      <c r="F40" s="107"/>
    </row>
    <row r="41" spans="1:6">
      <c r="A41" s="369">
        <f t="shared" si="0"/>
        <v>34</v>
      </c>
      <c r="B41" s="71" t="s">
        <v>262</v>
      </c>
      <c r="C41" s="71" t="s">
        <v>252</v>
      </c>
      <c r="D41" s="577">
        <f>+D39/24*1000</f>
        <v>0.17857142857142858</v>
      </c>
      <c r="E41" s="71" t="s">
        <v>895</v>
      </c>
      <c r="F41" s="107"/>
    </row>
    <row r="42" spans="1:6">
      <c r="A42" s="369"/>
      <c r="B42" s="71"/>
      <c r="C42" s="71"/>
      <c r="D42" s="579"/>
      <c r="E42" s="71"/>
      <c r="F42" s="107"/>
    </row>
    <row r="43" spans="1:6">
      <c r="A43" s="369"/>
      <c r="B43" s="373"/>
      <c r="C43" s="431"/>
      <c r="D43" s="374"/>
    </row>
    <row r="44" spans="1:6">
      <c r="A44" s="206" t="s">
        <v>174</v>
      </c>
      <c r="B44" s="373"/>
      <c r="D44" s="374"/>
    </row>
    <row r="45" spans="1:6">
      <c r="A45" s="421" t="s">
        <v>79</v>
      </c>
      <c r="B45" s="837" t="s">
        <v>829</v>
      </c>
      <c r="C45" s="837"/>
      <c r="D45" s="837"/>
    </row>
    <row r="46" spans="1:6">
      <c r="A46" s="369" t="s">
        <v>80</v>
      </c>
      <c r="B46" s="837" t="s">
        <v>830</v>
      </c>
      <c r="C46" s="837"/>
      <c r="D46" s="837"/>
    </row>
    <row r="47" spans="1:6">
      <c r="A47" s="369"/>
      <c r="B47" s="835"/>
      <c r="C47" s="835"/>
      <c r="D47" s="835"/>
    </row>
    <row r="48" spans="1:6">
      <c r="A48" s="369"/>
      <c r="B48" s="549"/>
      <c r="C48" s="549"/>
      <c r="D48" s="550"/>
    </row>
    <row r="49" spans="1:5">
      <c r="A49" s="369"/>
      <c r="B49" s="548"/>
      <c r="C49" s="549"/>
      <c r="D49" s="550"/>
    </row>
    <row r="50" spans="1:5">
      <c r="A50" s="369"/>
      <c r="B50" s="836"/>
      <c r="C50" s="836"/>
      <c r="D50" s="836"/>
    </row>
    <row r="51" spans="1:5">
      <c r="A51" s="369"/>
      <c r="B51" s="373"/>
      <c r="D51" s="378"/>
      <c r="E51" s="379"/>
    </row>
    <row r="52" spans="1:5">
      <c r="A52" s="369"/>
      <c r="B52" s="373"/>
      <c r="D52" s="378"/>
    </row>
    <row r="53" spans="1:5">
      <c r="A53" s="369"/>
      <c r="B53" s="373"/>
      <c r="D53" s="378"/>
    </row>
    <row r="54" spans="1:5">
      <c r="A54" s="369"/>
      <c r="B54" s="373"/>
      <c r="D54" s="378"/>
    </row>
    <row r="55" spans="1:5">
      <c r="A55" s="369"/>
      <c r="D55" s="374"/>
    </row>
    <row r="56" spans="1:5">
      <c r="A56" s="369"/>
      <c r="B56" s="380"/>
      <c r="D56" s="374"/>
    </row>
    <row r="57" spans="1:5">
      <c r="A57" s="369"/>
      <c r="B57" s="380"/>
      <c r="D57" s="374"/>
    </row>
    <row r="58" spans="1:5">
      <c r="A58" s="369"/>
      <c r="B58" s="380"/>
      <c r="D58" s="374"/>
    </row>
    <row r="59" spans="1:5">
      <c r="A59" s="369"/>
      <c r="B59" s="380"/>
      <c r="D59" s="374"/>
    </row>
    <row r="60" spans="1:5">
      <c r="A60" s="369"/>
      <c r="B60" s="380"/>
      <c r="D60" s="374"/>
    </row>
    <row r="61" spans="1:5">
      <c r="A61" s="369"/>
      <c r="B61" s="380"/>
      <c r="D61" s="374"/>
    </row>
    <row r="62" spans="1:5">
      <c r="A62" s="369"/>
      <c r="B62" s="380"/>
      <c r="D62" s="374"/>
    </row>
    <row r="63" spans="1:5">
      <c r="A63" s="369"/>
      <c r="B63" s="380"/>
      <c r="D63" s="374"/>
    </row>
    <row r="64" spans="1:5">
      <c r="A64" s="369"/>
      <c r="B64" s="380"/>
      <c r="D64" s="374"/>
    </row>
    <row r="65" spans="1:4">
      <c r="A65" s="369"/>
      <c r="B65" s="380"/>
      <c r="D65" s="374"/>
    </row>
    <row r="66" spans="1:4">
      <c r="A66" s="369"/>
      <c r="B66" s="373"/>
      <c r="D66" s="374"/>
    </row>
    <row r="67" spans="1:4">
      <c r="A67" s="369"/>
      <c r="B67" s="373"/>
      <c r="D67" s="374"/>
    </row>
    <row r="68" spans="1:4">
      <c r="A68" s="369"/>
      <c r="B68" s="373"/>
      <c r="D68" s="374"/>
    </row>
    <row r="69" spans="1:4">
      <c r="A69" s="369"/>
      <c r="B69" s="373"/>
      <c r="D69" s="374"/>
    </row>
    <row r="70" spans="1:4">
      <c r="A70" s="369"/>
      <c r="B70" s="373"/>
      <c r="D70" s="374"/>
    </row>
    <row r="71" spans="1:4">
      <c r="A71" s="369"/>
      <c r="B71" s="377"/>
      <c r="D71" s="374"/>
    </row>
    <row r="72" spans="1:4">
      <c r="A72" s="369"/>
      <c r="B72" s="373"/>
    </row>
    <row r="73" spans="1:4">
      <c r="A73" s="369"/>
      <c r="B73" s="373"/>
    </row>
    <row r="74" spans="1:4">
      <c r="A74" s="369"/>
      <c r="B74" s="373"/>
      <c r="D74" s="378"/>
    </row>
    <row r="75" spans="1:4">
      <c r="A75" s="369"/>
      <c r="B75" s="373"/>
      <c r="D75" s="378"/>
    </row>
    <row r="76" spans="1:4">
      <c r="A76" s="369"/>
      <c r="B76" s="373"/>
      <c r="D76" s="378"/>
    </row>
    <row r="77" spans="1:4">
      <c r="A77" s="369"/>
      <c r="B77" s="373"/>
      <c r="D77" s="378"/>
    </row>
    <row r="78" spans="1:4">
      <c r="A78" s="369"/>
      <c r="B78" s="373"/>
      <c r="D78" s="374"/>
    </row>
    <row r="79" spans="1:4">
      <c r="A79" s="369"/>
      <c r="B79" s="373"/>
      <c r="D79" s="374"/>
    </row>
    <row r="80" spans="1:4">
      <c r="A80" s="369"/>
      <c r="B80" s="373"/>
      <c r="D80" s="374"/>
    </row>
    <row r="150" spans="1:6" s="369" customFormat="1">
      <c r="A150" s="367"/>
      <c r="B150" s="367"/>
      <c r="D150" s="372"/>
      <c r="E150" s="367"/>
      <c r="F150" s="367"/>
    </row>
    <row r="161" spans="5:6">
      <c r="E161" s="369"/>
      <c r="F161" s="369"/>
    </row>
  </sheetData>
  <mergeCells count="7">
    <mergeCell ref="B47:D47"/>
    <mergeCell ref="B50:D50"/>
    <mergeCell ref="A1:E1"/>
    <mergeCell ref="A2:E2"/>
    <mergeCell ref="A3:E3"/>
    <mergeCell ref="B45:D45"/>
    <mergeCell ref="B46:D46"/>
  </mergeCells>
  <printOptions horizontalCentered="1"/>
  <pageMargins left="0.75" right="0.5" top="0.75" bottom="0.75" header="0.5" footer="0.5"/>
  <pageSetup scale="81" firstPageNumber="7" orientation="portrait" cellComments="atEnd" r:id="rId1"/>
  <headerFooter alignWithMargins="0"/>
  <ignoredErrors>
    <ignoredError sqref="D35:D41 D22"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K275"/>
  <sheetViews>
    <sheetView workbookViewId="0">
      <selection activeCell="D130" sqref="D130"/>
    </sheetView>
  </sheetViews>
  <sheetFormatPr defaultColWidth="8.77734375" defaultRowHeight="12.75"/>
  <cols>
    <col min="1" max="1" width="4.21875" style="103" customWidth="1"/>
    <col min="2" max="2" width="39.21875" style="103" customWidth="1"/>
    <col min="3" max="3" width="36.77734375" style="103" customWidth="1"/>
    <col min="4" max="4" width="10.77734375" style="103" customWidth="1"/>
    <col min="5" max="5" width="3.77734375" style="103" customWidth="1"/>
    <col min="6" max="6" width="3.5546875" style="103" customWidth="1"/>
    <col min="7" max="7" width="9.77734375" style="103" customWidth="1"/>
    <col min="8" max="8" width="3.21875" style="103" bestFit="1" customWidth="1"/>
    <col min="9" max="9" width="10.77734375" style="103" customWidth="1"/>
    <col min="10" max="10" width="1.44140625" style="103" customWidth="1"/>
    <col min="11" max="11" width="6" style="103" customWidth="1"/>
    <col min="12" max="12" width="10.21875" style="103" customWidth="1"/>
    <col min="13" max="16384" width="8.77734375" style="103"/>
  </cols>
  <sheetData>
    <row r="1" spans="1:11">
      <c r="B1" s="71"/>
      <c r="C1" s="71"/>
      <c r="D1" s="104"/>
      <c r="E1" s="71"/>
      <c r="F1" s="71"/>
      <c r="G1" s="71"/>
      <c r="H1" s="71"/>
      <c r="I1" s="762" t="s">
        <v>479</v>
      </c>
      <c r="J1" s="762"/>
      <c r="K1" s="762"/>
    </row>
    <row r="2" spans="1:11">
      <c r="B2" s="71"/>
      <c r="C2" s="71"/>
      <c r="D2" s="104"/>
      <c r="E2" s="71"/>
      <c r="F2" s="71"/>
      <c r="G2" s="71"/>
      <c r="H2" s="71"/>
      <c r="I2" s="71"/>
      <c r="J2" s="761" t="s">
        <v>241</v>
      </c>
      <c r="K2" s="761"/>
    </row>
    <row r="3" spans="1:11">
      <c r="B3" s="71"/>
      <c r="D3" s="104"/>
      <c r="E3" s="71"/>
      <c r="F3" s="71"/>
      <c r="G3" s="71"/>
      <c r="H3" s="71"/>
      <c r="I3" s="71"/>
      <c r="J3" s="71"/>
      <c r="K3" s="105"/>
    </row>
    <row r="4" spans="1:11">
      <c r="B4" s="104" t="s">
        <v>0</v>
      </c>
      <c r="C4" s="78" t="s">
        <v>122</v>
      </c>
      <c r="E4" s="71"/>
      <c r="F4" s="71"/>
      <c r="G4" s="71"/>
      <c r="H4" s="71"/>
      <c r="I4" s="71"/>
      <c r="J4" s="71"/>
      <c r="K4" s="106" t="s">
        <v>1231</v>
      </c>
    </row>
    <row r="5" spans="1:11">
      <c r="B5" s="71"/>
      <c r="C5" s="108" t="s">
        <v>123</v>
      </c>
      <c r="E5" s="107"/>
      <c r="F5" s="107"/>
      <c r="G5" s="107"/>
      <c r="H5" s="71"/>
      <c r="I5" s="71"/>
      <c r="J5" s="71"/>
      <c r="K5" s="71"/>
    </row>
    <row r="6" spans="1:11">
      <c r="B6" s="71"/>
      <c r="C6" s="107"/>
      <c r="D6" s="107"/>
      <c r="E6" s="107"/>
      <c r="F6" s="107"/>
      <c r="G6" s="107"/>
      <c r="H6" s="71"/>
      <c r="I6" s="71"/>
      <c r="J6" s="71"/>
      <c r="K6" s="71"/>
    </row>
    <row r="7" spans="1:11">
      <c r="B7" s="71"/>
      <c r="C7" s="109" t="s">
        <v>130</v>
      </c>
      <c r="E7" s="107"/>
      <c r="F7" s="107"/>
      <c r="G7" s="107"/>
      <c r="H7" s="107"/>
      <c r="I7" s="107"/>
      <c r="J7" s="107"/>
      <c r="K7" s="107"/>
    </row>
    <row r="8" spans="1:11">
      <c r="A8" s="78" t="s">
        <v>4</v>
      </c>
      <c r="B8" s="71"/>
      <c r="C8" s="71"/>
      <c r="D8" s="110"/>
      <c r="E8" s="71"/>
      <c r="F8" s="71"/>
      <c r="G8" s="71"/>
      <c r="H8" s="71"/>
      <c r="I8" s="78" t="s">
        <v>5</v>
      </c>
      <c r="J8" s="71"/>
      <c r="K8" s="71"/>
    </row>
    <row r="9" spans="1:11" ht="13.5" thickBot="1">
      <c r="A9" s="111" t="s">
        <v>6</v>
      </c>
      <c r="B9" s="71"/>
      <c r="C9" s="71"/>
      <c r="D9" s="71"/>
      <c r="E9" s="71"/>
      <c r="F9" s="71"/>
      <c r="G9" s="71"/>
      <c r="H9" s="71"/>
      <c r="I9" s="111" t="s">
        <v>7</v>
      </c>
      <c r="J9" s="71"/>
      <c r="K9" s="71"/>
    </row>
    <row r="10" spans="1:11">
      <c r="A10" s="78">
        <v>1</v>
      </c>
      <c r="B10" s="71" t="s">
        <v>125</v>
      </c>
      <c r="C10" s="71"/>
      <c r="D10" s="107"/>
      <c r="E10" s="71"/>
      <c r="F10" s="71"/>
      <c r="G10" s="71"/>
      <c r="H10" s="71"/>
      <c r="I10" s="112">
        <f>'Act Att-H'!I155</f>
        <v>11149374.635642864</v>
      </c>
      <c r="J10" s="71"/>
      <c r="K10" s="71"/>
    </row>
    <row r="11" spans="1:11">
      <c r="A11" s="78"/>
      <c r="B11" s="71"/>
      <c r="C11" s="71"/>
      <c r="D11" s="71"/>
      <c r="E11" s="71"/>
      <c r="F11" s="71"/>
      <c r="G11" s="71"/>
      <c r="H11" s="71"/>
      <c r="I11" s="107"/>
      <c r="J11" s="71"/>
      <c r="K11" s="71"/>
    </row>
    <row r="12" spans="1:11" ht="15.75" customHeight="1" thickBot="1">
      <c r="A12" s="78" t="s">
        <v>2</v>
      </c>
      <c r="B12" s="71" t="s">
        <v>8</v>
      </c>
      <c r="C12" s="107" t="s">
        <v>463</v>
      </c>
      <c r="D12" s="111" t="s">
        <v>9</v>
      </c>
      <c r="E12" s="107"/>
      <c r="F12" s="771" t="s">
        <v>10</v>
      </c>
      <c r="G12" s="771"/>
      <c r="H12" s="71"/>
      <c r="I12" s="107"/>
      <c r="J12" s="71"/>
      <c r="K12" s="71"/>
    </row>
    <row r="13" spans="1:11">
      <c r="A13" s="78">
        <v>2</v>
      </c>
      <c r="B13" s="71" t="s">
        <v>12</v>
      </c>
      <c r="C13" s="107" t="s">
        <v>652</v>
      </c>
      <c r="D13" s="174">
        <f>'A1-RevCred'!J12</f>
        <v>80644.325484651577</v>
      </c>
      <c r="E13" s="107"/>
      <c r="F13" s="107" t="s">
        <v>11</v>
      </c>
      <c r="G13" s="114">
        <f>$I$174</f>
        <v>0.94993800079121415</v>
      </c>
      <c r="H13" s="107"/>
      <c r="I13" s="63">
        <f>+G13*D13</f>
        <v>76607.109326045887</v>
      </c>
      <c r="J13" s="71"/>
      <c r="K13" s="71"/>
    </row>
    <row r="14" spans="1:11">
      <c r="A14" s="78">
        <v>3</v>
      </c>
      <c r="B14" s="71" t="s">
        <v>110</v>
      </c>
      <c r="C14" s="107" t="s">
        <v>808</v>
      </c>
      <c r="D14" s="174">
        <f>'A1-RevCred'!F48</f>
        <v>44</v>
      </c>
      <c r="E14" s="107"/>
      <c r="F14" s="115" t="str">
        <f t="shared" ref="F14" si="0">+F13</f>
        <v>TP</v>
      </c>
      <c r="G14" s="114">
        <f>$I$174</f>
        <v>0.94993800079121415</v>
      </c>
      <c r="H14" s="107"/>
      <c r="I14" s="63">
        <f>+G14*D14</f>
        <v>41.797272034813425</v>
      </c>
      <c r="J14" s="71"/>
      <c r="K14" s="71"/>
    </row>
    <row r="15" spans="1:11">
      <c r="A15" s="78">
        <v>4</v>
      </c>
      <c r="B15" s="176" t="s">
        <v>569</v>
      </c>
      <c r="C15" s="107"/>
      <c r="D15" s="175"/>
      <c r="E15" s="107"/>
      <c r="F15" s="115"/>
      <c r="G15" s="114"/>
      <c r="H15" s="107"/>
      <c r="I15" s="63"/>
      <c r="J15" s="71"/>
      <c r="K15" s="71"/>
    </row>
    <row r="16" spans="1:11" ht="13.5" thickBot="1">
      <c r="A16" s="78">
        <v>5</v>
      </c>
      <c r="B16" s="176" t="s">
        <v>569</v>
      </c>
      <c r="C16" s="107"/>
      <c r="D16" s="175"/>
      <c r="E16" s="107"/>
      <c r="F16" s="115"/>
      <c r="G16" s="114"/>
      <c r="H16" s="107"/>
      <c r="I16" s="64"/>
      <c r="J16" s="71"/>
      <c r="K16" s="71"/>
    </row>
    <row r="17" spans="1:11">
      <c r="A17" s="78">
        <v>6</v>
      </c>
      <c r="B17" s="71" t="s">
        <v>91</v>
      </c>
      <c r="C17" s="71"/>
      <c r="D17" s="117" t="s">
        <v>2</v>
      </c>
      <c r="E17" s="107"/>
      <c r="F17" s="107"/>
      <c r="G17" s="118"/>
      <c r="H17" s="107"/>
      <c r="I17" s="63">
        <f>SUM(I13:I16)</f>
        <v>76648.906598080706</v>
      </c>
      <c r="J17" s="71"/>
      <c r="K17" s="71"/>
    </row>
    <row r="18" spans="1:11">
      <c r="A18" s="78"/>
      <c r="B18" s="71"/>
      <c r="C18" s="71"/>
      <c r="I18" s="63"/>
      <c r="J18" s="71"/>
      <c r="K18" s="71"/>
    </row>
    <row r="19" spans="1:11" ht="13.5" thickBot="1">
      <c r="A19" s="78">
        <v>7</v>
      </c>
      <c r="B19" s="71" t="s">
        <v>13</v>
      </c>
      <c r="C19" s="71" t="s">
        <v>817</v>
      </c>
      <c r="D19" s="117"/>
      <c r="E19" s="107"/>
      <c r="F19" s="107"/>
      <c r="G19" s="107"/>
      <c r="H19" s="107"/>
      <c r="I19" s="119">
        <f>I10-I17</f>
        <v>11072725.729044784</v>
      </c>
      <c r="J19" s="71"/>
      <c r="K19" s="71"/>
    </row>
    <row r="20" spans="1:11" ht="13.5" thickTop="1">
      <c r="A20" s="78"/>
      <c r="B20" s="71"/>
      <c r="C20" s="71"/>
      <c r="D20" s="117"/>
      <c r="E20" s="107"/>
      <c r="F20" s="107"/>
      <c r="G20" s="107"/>
      <c r="H20" s="107"/>
      <c r="I20" s="422"/>
      <c r="J20" s="71"/>
      <c r="K20" s="71"/>
    </row>
    <row r="21" spans="1:11">
      <c r="A21" s="78"/>
      <c r="B21" s="71" t="s">
        <v>14</v>
      </c>
      <c r="C21" s="71"/>
      <c r="D21" s="107"/>
      <c r="E21" s="71"/>
      <c r="F21" s="71"/>
      <c r="G21" s="71"/>
      <c r="H21" s="71"/>
      <c r="I21" s="107"/>
      <c r="J21" s="71"/>
      <c r="K21" s="71"/>
    </row>
    <row r="22" spans="1:11">
      <c r="A22" s="78">
        <v>8</v>
      </c>
      <c r="B22" s="71" t="s">
        <v>255</v>
      </c>
      <c r="C22" s="103" t="s">
        <v>653</v>
      </c>
      <c r="D22" s="107"/>
      <c r="E22" s="71"/>
      <c r="F22" s="71"/>
      <c r="G22" s="71"/>
      <c r="H22" s="71"/>
      <c r="I22" s="174">
        <f>'A6-Divisor'!E21</f>
        <v>267750</v>
      </c>
      <c r="J22" s="71"/>
      <c r="K22" s="71"/>
    </row>
    <row r="23" spans="1:11">
      <c r="A23" s="78">
        <v>9</v>
      </c>
      <c r="B23" s="71"/>
      <c r="C23" s="107"/>
      <c r="D23" s="107"/>
      <c r="E23" s="107"/>
      <c r="F23" s="107"/>
      <c r="G23" s="107"/>
      <c r="H23" s="107"/>
      <c r="I23" s="107"/>
      <c r="J23" s="71"/>
      <c r="K23" s="71"/>
    </row>
    <row r="24" spans="1:11">
      <c r="A24" s="78">
        <v>10</v>
      </c>
      <c r="B24" s="107" t="s">
        <v>254</v>
      </c>
      <c r="C24" s="107"/>
      <c r="D24" s="107"/>
      <c r="E24" s="107"/>
      <c r="F24" s="107"/>
      <c r="G24" s="107"/>
      <c r="H24" s="107"/>
      <c r="I24" s="107"/>
      <c r="J24" s="107"/>
      <c r="K24" s="71"/>
    </row>
    <row r="25" spans="1:11">
      <c r="A25" s="78">
        <v>11</v>
      </c>
      <c r="B25" s="71" t="s">
        <v>256</v>
      </c>
      <c r="C25" s="71"/>
      <c r="D25" s="577">
        <f>ROUND(I19/I22,2)</f>
        <v>41.35</v>
      </c>
      <c r="E25" s="71" t="s">
        <v>245</v>
      </c>
      <c r="F25" s="107"/>
      <c r="G25" s="107"/>
      <c r="H25" s="107"/>
      <c r="I25" s="107"/>
      <c r="J25" s="107"/>
      <c r="K25" s="71"/>
    </row>
    <row r="26" spans="1:11">
      <c r="A26" s="78">
        <v>12</v>
      </c>
      <c r="B26" s="71" t="s">
        <v>257</v>
      </c>
      <c r="C26" s="71" t="s">
        <v>788</v>
      </c>
      <c r="D26" s="577">
        <f>ROUND(D25/12,2)</f>
        <v>3.45</v>
      </c>
      <c r="E26" s="71" t="s">
        <v>246</v>
      </c>
      <c r="F26" s="107"/>
      <c r="G26" s="107"/>
      <c r="H26" s="107"/>
      <c r="I26" s="107"/>
      <c r="J26" s="107"/>
      <c r="K26" s="71"/>
    </row>
    <row r="27" spans="1:11">
      <c r="A27" s="78">
        <v>13</v>
      </c>
      <c r="B27" s="71" t="s">
        <v>258</v>
      </c>
      <c r="C27" s="71" t="s">
        <v>789</v>
      </c>
      <c r="D27" s="577">
        <f>ROUND(D25/52,2)</f>
        <v>0.8</v>
      </c>
      <c r="E27" s="71" t="s">
        <v>247</v>
      </c>
      <c r="F27" s="107"/>
      <c r="G27" s="107"/>
      <c r="H27" s="107"/>
      <c r="I27" s="107"/>
      <c r="J27" s="107"/>
      <c r="K27" s="71"/>
    </row>
    <row r="28" spans="1:11">
      <c r="A28" s="78">
        <v>14</v>
      </c>
      <c r="B28" s="71" t="s">
        <v>259</v>
      </c>
      <c r="C28" s="71" t="s">
        <v>248</v>
      </c>
      <c r="D28" s="578">
        <f>+D27/6</f>
        <v>0.13333333333333333</v>
      </c>
      <c r="E28" s="71" t="s">
        <v>249</v>
      </c>
      <c r="F28" s="107"/>
      <c r="G28" s="107"/>
      <c r="H28" s="107"/>
      <c r="I28" s="107"/>
      <c r="J28" s="107"/>
      <c r="K28" s="71"/>
    </row>
    <row r="29" spans="1:11">
      <c r="A29" s="78">
        <v>15</v>
      </c>
      <c r="B29" s="71" t="s">
        <v>260</v>
      </c>
      <c r="C29" s="71" t="s">
        <v>250</v>
      </c>
      <c r="D29" s="578">
        <f>+D27/7</f>
        <v>0.1142857142857143</v>
      </c>
      <c r="E29" s="71" t="s">
        <v>249</v>
      </c>
      <c r="F29" s="107"/>
      <c r="G29" s="107"/>
      <c r="H29" s="107"/>
      <c r="I29" s="107"/>
      <c r="J29" s="107"/>
      <c r="K29" s="71"/>
    </row>
    <row r="30" spans="1:11">
      <c r="A30" s="78">
        <v>16</v>
      </c>
      <c r="B30" s="71" t="s">
        <v>261</v>
      </c>
      <c r="C30" s="71" t="s">
        <v>251</v>
      </c>
      <c r="D30" s="577">
        <f>+D28/16*1000</f>
        <v>8.3333333333333339</v>
      </c>
      <c r="E30" s="71" t="s">
        <v>895</v>
      </c>
      <c r="F30" s="107"/>
      <c r="G30" s="107"/>
      <c r="H30" s="107"/>
      <c r="I30" s="107"/>
      <c r="J30" s="107"/>
      <c r="K30" s="71"/>
    </row>
    <row r="31" spans="1:11">
      <c r="A31" s="78">
        <v>17</v>
      </c>
      <c r="B31" s="71" t="s">
        <v>262</v>
      </c>
      <c r="C31" s="71" t="s">
        <v>252</v>
      </c>
      <c r="D31" s="577">
        <f>+D29/24*1000</f>
        <v>4.7619047619047628</v>
      </c>
      <c r="E31" s="71" t="s">
        <v>895</v>
      </c>
      <c r="F31" s="107"/>
      <c r="G31" s="107"/>
      <c r="H31" s="107"/>
      <c r="I31" s="107"/>
      <c r="J31" s="107"/>
      <c r="K31" s="71"/>
    </row>
    <row r="32" spans="1:11">
      <c r="B32" s="71"/>
      <c r="C32" s="71"/>
      <c r="D32" s="104"/>
      <c r="E32" s="71"/>
      <c r="F32" s="71"/>
      <c r="G32" s="71"/>
      <c r="H32" s="71"/>
      <c r="I32" s="762" t="str">
        <f>I1</f>
        <v>Actual Attachment H</v>
      </c>
      <c r="J32" s="762"/>
      <c r="K32" s="762"/>
    </row>
    <row r="33" spans="1:11">
      <c r="B33" s="71"/>
      <c r="C33" s="71"/>
      <c r="D33" s="104"/>
      <c r="E33" s="71"/>
      <c r="F33" s="71"/>
      <c r="G33" s="71"/>
      <c r="H33" s="71"/>
      <c r="I33" s="71"/>
      <c r="J33" s="761" t="s">
        <v>242</v>
      </c>
      <c r="K33" s="761"/>
    </row>
    <row r="34" spans="1:11">
      <c r="B34" s="71"/>
      <c r="C34" s="71"/>
      <c r="D34" s="104"/>
      <c r="E34" s="71"/>
      <c r="F34" s="71"/>
      <c r="G34" s="71"/>
      <c r="H34" s="71"/>
      <c r="I34" s="71"/>
      <c r="J34" s="71"/>
      <c r="K34" s="105"/>
    </row>
    <row r="35" spans="1:11">
      <c r="B35" s="104" t="s">
        <v>0</v>
      </c>
      <c r="C35" s="71"/>
      <c r="D35" s="78" t="s">
        <v>1</v>
      </c>
      <c r="E35" s="71"/>
      <c r="F35" s="71"/>
      <c r="G35" s="71"/>
      <c r="H35" s="71"/>
      <c r="I35" s="71"/>
      <c r="J35" s="71"/>
      <c r="K35" s="121" t="str">
        <f>K4</f>
        <v>Actuals - For the 12 months ended 12/31/2022</v>
      </c>
    </row>
    <row r="36" spans="1:11">
      <c r="B36" s="71"/>
      <c r="C36" s="107"/>
      <c r="D36" s="108" t="s">
        <v>3</v>
      </c>
      <c r="E36" s="107"/>
      <c r="F36" s="107"/>
      <c r="G36" s="107"/>
      <c r="H36" s="71"/>
      <c r="I36" s="71"/>
      <c r="J36" s="71"/>
      <c r="K36" s="71"/>
    </row>
    <row r="37" spans="1:11">
      <c r="B37" s="71"/>
      <c r="C37" s="107"/>
      <c r="D37" s="107"/>
      <c r="E37" s="107"/>
      <c r="F37" s="107"/>
      <c r="G37" s="107"/>
      <c r="H37" s="71"/>
      <c r="I37" s="71"/>
      <c r="J37" s="71"/>
      <c r="K37" s="71"/>
    </row>
    <row r="38" spans="1:11">
      <c r="A38" s="78"/>
      <c r="D38" s="122" t="str">
        <f>C7</f>
        <v>Cheyenne Light, Fuel &amp; Power</v>
      </c>
      <c r="J38" s="107"/>
      <c r="K38" s="107"/>
    </row>
    <row r="39" spans="1:11">
      <c r="B39" s="71"/>
      <c r="C39" s="71"/>
      <c r="D39" s="71"/>
      <c r="E39" s="71"/>
      <c r="F39" s="71"/>
      <c r="G39" s="71"/>
      <c r="H39" s="71"/>
      <c r="J39" s="71"/>
      <c r="K39" s="71"/>
    </row>
    <row r="40" spans="1:11">
      <c r="B40" s="78" t="s">
        <v>15</v>
      </c>
      <c r="C40" s="78" t="s">
        <v>16</v>
      </c>
      <c r="D40" s="78" t="s">
        <v>17</v>
      </c>
      <c r="E40" s="107" t="s">
        <v>2</v>
      </c>
      <c r="F40" s="107"/>
      <c r="G40" s="123" t="s">
        <v>18</v>
      </c>
      <c r="H40" s="107"/>
      <c r="I40" s="124" t="s">
        <v>19</v>
      </c>
      <c r="J40" s="107"/>
      <c r="K40" s="78"/>
    </row>
    <row r="41" spans="1:11">
      <c r="B41" s="71"/>
      <c r="C41" s="125" t="s">
        <v>20</v>
      </c>
      <c r="D41" s="107"/>
      <c r="E41" s="107"/>
      <c r="F41" s="107"/>
      <c r="G41" s="78"/>
      <c r="H41" s="107"/>
      <c r="I41" s="126" t="s">
        <v>21</v>
      </c>
      <c r="J41" s="107"/>
      <c r="K41" s="78"/>
    </row>
    <row r="42" spans="1:11">
      <c r="A42" s="78" t="s">
        <v>4</v>
      </c>
      <c r="B42" s="71"/>
      <c r="C42" s="127" t="s">
        <v>22</v>
      </c>
      <c r="D42" s="126" t="s">
        <v>23</v>
      </c>
      <c r="E42" s="128"/>
      <c r="F42" s="126" t="s">
        <v>24</v>
      </c>
      <c r="H42" s="128"/>
      <c r="I42" s="78" t="s">
        <v>25</v>
      </c>
      <c r="J42" s="107"/>
      <c r="K42" s="78"/>
    </row>
    <row r="43" spans="1:11" ht="13.5" thickBot="1">
      <c r="A43" s="111" t="s">
        <v>6</v>
      </c>
      <c r="B43" s="129" t="s">
        <v>473</v>
      </c>
      <c r="C43" s="107"/>
      <c r="D43" s="107"/>
      <c r="E43" s="107"/>
      <c r="F43" s="107"/>
      <c r="G43" s="107"/>
      <c r="H43" s="107"/>
      <c r="I43" s="107"/>
      <c r="J43" s="107"/>
      <c r="K43" s="107"/>
    </row>
    <row r="44" spans="1:11">
      <c r="A44" s="78"/>
      <c r="B44" s="71" t="s">
        <v>470</v>
      </c>
      <c r="C44" s="107"/>
      <c r="D44" s="107"/>
      <c r="E44" s="107"/>
      <c r="F44" s="107"/>
      <c r="G44" s="107"/>
      <c r="H44" s="107"/>
      <c r="I44" s="107"/>
      <c r="J44" s="107"/>
      <c r="K44" s="107"/>
    </row>
    <row r="45" spans="1:11">
      <c r="A45" s="78">
        <v>1</v>
      </c>
      <c r="B45" s="71" t="s">
        <v>26</v>
      </c>
      <c r="C45" s="51" t="s">
        <v>658</v>
      </c>
      <c r="D45" s="174">
        <f>'A4-Rate Base'!C23</f>
        <v>348280393.26692301</v>
      </c>
      <c r="E45" s="107"/>
      <c r="F45" s="107" t="s">
        <v>27</v>
      </c>
      <c r="G45" s="130" t="s">
        <v>2</v>
      </c>
      <c r="H45" s="107"/>
      <c r="I45" s="63">
        <v>0</v>
      </c>
      <c r="J45" s="107"/>
      <c r="K45" s="107"/>
    </row>
    <row r="46" spans="1:11">
      <c r="A46" s="78">
        <v>2</v>
      </c>
      <c r="B46" s="71" t="s">
        <v>28</v>
      </c>
      <c r="C46" s="51" t="s">
        <v>659</v>
      </c>
      <c r="D46" s="174">
        <f>'A4-Rate Base'!D23</f>
        <v>86957649.413846165</v>
      </c>
      <c r="E46" s="107"/>
      <c r="F46" s="107" t="s">
        <v>11</v>
      </c>
      <c r="G46" s="114">
        <f>$I$174</f>
        <v>0.94993800079121415</v>
      </c>
      <c r="H46" s="107"/>
      <c r="I46" s="63">
        <f>+G46*D46</f>
        <v>82604375.637692317</v>
      </c>
      <c r="J46" s="107"/>
      <c r="K46" s="107"/>
    </row>
    <row r="47" spans="1:11">
      <c r="A47" s="78">
        <v>3</v>
      </c>
      <c r="B47" s="71" t="s">
        <v>29</v>
      </c>
      <c r="C47" s="51" t="s">
        <v>660</v>
      </c>
      <c r="D47" s="174">
        <f>'A4-Rate Base'!E23</f>
        <v>252209333.70000008</v>
      </c>
      <c r="E47" s="107"/>
      <c r="F47" s="107" t="s">
        <v>27</v>
      </c>
      <c r="G47" s="130" t="s">
        <v>2</v>
      </c>
      <c r="H47" s="107"/>
      <c r="I47" s="63">
        <v>0</v>
      </c>
      <c r="J47" s="107"/>
      <c r="K47" s="107"/>
    </row>
    <row r="48" spans="1:11">
      <c r="A48" s="78">
        <v>4</v>
      </c>
      <c r="B48" s="71" t="s">
        <v>30</v>
      </c>
      <c r="C48" s="51" t="s">
        <v>661</v>
      </c>
      <c r="D48" s="174">
        <f>'A4-Rate Base'!F23</f>
        <v>21130047.153076924</v>
      </c>
      <c r="E48" s="107"/>
      <c r="F48" s="107" t="s">
        <v>31</v>
      </c>
      <c r="G48" s="131">
        <f>$I$191</f>
        <v>7.0964263854582682E-2</v>
      </c>
      <c r="H48" s="107"/>
      <c r="I48" s="63">
        <f>+G48*D48</f>
        <v>1499478.2414307245</v>
      </c>
      <c r="J48" s="107"/>
      <c r="K48" s="107"/>
    </row>
    <row r="49" spans="1:11">
      <c r="A49" s="78">
        <v>5</v>
      </c>
      <c r="B49" s="71" t="s">
        <v>32</v>
      </c>
      <c r="C49" s="51" t="s">
        <v>662</v>
      </c>
      <c r="D49" s="174">
        <f>'A4-Rate Base'!G23</f>
        <v>12519082</v>
      </c>
      <c r="E49" s="107"/>
      <c r="F49" s="107" t="s">
        <v>67</v>
      </c>
      <c r="G49" s="131">
        <f>$K$195</f>
        <v>6.9716558849231183E-2</v>
      </c>
      <c r="H49" s="107"/>
      <c r="I49" s="63">
        <f>+G49*D49</f>
        <v>872787.31699135085</v>
      </c>
      <c r="J49" s="107"/>
      <c r="K49" s="107"/>
    </row>
    <row r="50" spans="1:11">
      <c r="A50" s="78">
        <v>6</v>
      </c>
      <c r="B50" s="71" t="s">
        <v>364</v>
      </c>
      <c r="C50" s="52" t="s">
        <v>363</v>
      </c>
      <c r="D50" s="184">
        <f>SUM(D45:D49)</f>
        <v>721096505.53384614</v>
      </c>
      <c r="E50" s="107"/>
      <c r="F50" s="107" t="s">
        <v>33</v>
      </c>
      <c r="G50" s="114">
        <f>IF(I50&gt;0,I50/D50,0)</f>
        <v>0.11784364581437545</v>
      </c>
      <c r="H50" s="107"/>
      <c r="I50" s="184">
        <f>SUM(I45:I49)</f>
        <v>84976641.196114391</v>
      </c>
      <c r="J50" s="107"/>
      <c r="K50" s="382"/>
    </row>
    <row r="51" spans="1:11">
      <c r="B51" s="71"/>
      <c r="C51" s="107"/>
      <c r="D51" s="107"/>
      <c r="E51" s="107"/>
      <c r="F51" s="107"/>
      <c r="G51" s="133"/>
      <c r="H51" s="107"/>
      <c r="I51" s="63"/>
      <c r="J51" s="107"/>
      <c r="K51" s="133"/>
    </row>
    <row r="52" spans="1:11">
      <c r="B52" s="71" t="s">
        <v>471</v>
      </c>
      <c r="C52" s="107"/>
      <c r="D52" s="107"/>
      <c r="E52" s="107"/>
      <c r="F52" s="107"/>
      <c r="G52" s="107"/>
      <c r="H52" s="107"/>
      <c r="I52" s="107"/>
      <c r="J52" s="107"/>
      <c r="K52" s="107"/>
    </row>
    <row r="53" spans="1:11">
      <c r="A53" s="78">
        <v>7</v>
      </c>
      <c r="B53" s="134" t="str">
        <f>+B45</f>
        <v xml:space="preserve">  Production</v>
      </c>
      <c r="C53" s="51" t="s">
        <v>663</v>
      </c>
      <c r="D53" s="174">
        <f>'A4-Rate Base'!E46</f>
        <v>70990985.660010874</v>
      </c>
      <c r="E53" s="107"/>
      <c r="F53" s="115" t="str">
        <f>+F45</f>
        <v>NA</v>
      </c>
      <c r="G53" s="131"/>
      <c r="H53" s="107"/>
      <c r="I53" s="63">
        <v>0</v>
      </c>
      <c r="J53" s="107"/>
      <c r="K53" s="107"/>
    </row>
    <row r="54" spans="1:11">
      <c r="A54" s="78">
        <v>8</v>
      </c>
      <c r="B54" s="134" t="str">
        <f>+B46</f>
        <v xml:space="preserve">  Transmission</v>
      </c>
      <c r="C54" s="51" t="s">
        <v>664</v>
      </c>
      <c r="D54" s="174">
        <f>'A4-Rate Base'!F46</f>
        <v>7740377.3960624235</v>
      </c>
      <c r="E54" s="107"/>
      <c r="F54" s="115" t="str">
        <f t="shared" ref="F54:F57" si="1">+F46</f>
        <v>TP</v>
      </c>
      <c r="G54" s="114">
        <f>$I$174</f>
        <v>0.94993800079121415</v>
      </c>
      <c r="H54" s="107"/>
      <c r="I54" s="63">
        <f>+G54*D54</f>
        <v>7352878.6289850427</v>
      </c>
      <c r="J54" s="107"/>
      <c r="K54" s="107"/>
    </row>
    <row r="55" spans="1:11">
      <c r="A55" s="78">
        <v>9</v>
      </c>
      <c r="B55" s="134" t="str">
        <f>+B47</f>
        <v xml:space="preserve">  Distribution</v>
      </c>
      <c r="C55" s="51" t="s">
        <v>665</v>
      </c>
      <c r="D55" s="174">
        <f>'A4-Rate Base'!G46</f>
        <v>68938445.248897687</v>
      </c>
      <c r="E55" s="107"/>
      <c r="F55" s="115" t="str">
        <f t="shared" si="1"/>
        <v>NA</v>
      </c>
      <c r="G55" s="131"/>
      <c r="H55" s="107"/>
      <c r="I55" s="63">
        <v>0</v>
      </c>
      <c r="J55" s="107"/>
      <c r="K55" s="107"/>
    </row>
    <row r="56" spans="1:11">
      <c r="A56" s="78">
        <v>10</v>
      </c>
      <c r="B56" s="134" t="str">
        <f>+B48</f>
        <v xml:space="preserve">  General &amp; Intangible</v>
      </c>
      <c r="C56" s="51" t="s">
        <v>666</v>
      </c>
      <c r="D56" s="174">
        <f>'A4-Rate Base'!H46</f>
        <v>5632699.016246344</v>
      </c>
      <c r="E56" s="107"/>
      <c r="F56" s="115" t="str">
        <f t="shared" si="1"/>
        <v>W/S</v>
      </c>
      <c r="G56" s="131">
        <f>$I$191</f>
        <v>7.0964263854582682E-2</v>
      </c>
      <c r="H56" s="107"/>
      <c r="I56" s="63">
        <f>+G56*D56</f>
        <v>399720.33920235385</v>
      </c>
      <c r="J56" s="107"/>
      <c r="K56" s="107"/>
    </row>
    <row r="57" spans="1:11">
      <c r="A57" s="78">
        <v>11</v>
      </c>
      <c r="B57" s="134" t="str">
        <f>+B49</f>
        <v xml:space="preserve">  Common</v>
      </c>
      <c r="C57" s="51" t="s">
        <v>667</v>
      </c>
      <c r="D57" s="174">
        <f>'A4-Rate Base'!I46</f>
        <v>2485781.3846153845</v>
      </c>
      <c r="E57" s="107"/>
      <c r="F57" s="115" t="str">
        <f t="shared" si="1"/>
        <v>CE</v>
      </c>
      <c r="G57" s="131">
        <f>$K$195</f>
        <v>6.9716558849231183E-2</v>
      </c>
      <c r="H57" s="107"/>
      <c r="I57" s="59">
        <f>+G57*D57</f>
        <v>173300.12418686182</v>
      </c>
      <c r="J57" s="107"/>
      <c r="K57" s="107"/>
    </row>
    <row r="58" spans="1:11">
      <c r="A58" s="78">
        <v>12</v>
      </c>
      <c r="B58" s="71" t="s">
        <v>366</v>
      </c>
      <c r="C58" s="52" t="s">
        <v>365</v>
      </c>
      <c r="D58" s="184">
        <f>SUM(D53:D57)</f>
        <v>155788288.70583272</v>
      </c>
      <c r="E58" s="107"/>
      <c r="F58" s="107"/>
      <c r="G58" s="107"/>
      <c r="H58" s="107"/>
      <c r="I58" s="184">
        <f>SUM(I53:I57)</f>
        <v>7925899.0923742587</v>
      </c>
      <c r="J58" s="107"/>
      <c r="K58" s="107"/>
    </row>
    <row r="59" spans="1:11">
      <c r="A59" s="78"/>
      <c r="C59" s="107" t="s">
        <v>2</v>
      </c>
      <c r="E59" s="107"/>
      <c r="F59" s="107"/>
      <c r="G59" s="133"/>
      <c r="H59" s="107"/>
      <c r="J59" s="107"/>
      <c r="K59" s="133"/>
    </row>
    <row r="60" spans="1:11">
      <c r="A60" s="78"/>
      <c r="B60" s="71" t="s">
        <v>141</v>
      </c>
      <c r="C60" s="107"/>
      <c r="D60" s="107"/>
      <c r="E60" s="107"/>
      <c r="F60" s="107"/>
      <c r="G60" s="107"/>
      <c r="H60" s="107"/>
      <c r="I60" s="107"/>
      <c r="J60" s="107"/>
      <c r="K60" s="107"/>
    </row>
    <row r="61" spans="1:11">
      <c r="A61" s="78">
        <v>13</v>
      </c>
      <c r="B61" s="134" t="str">
        <f>+B53</f>
        <v xml:space="preserve">  Production</v>
      </c>
      <c r="C61" s="52" t="str">
        <f>"(Line "&amp;A45&amp;" - Line "&amp;A53&amp;")"</f>
        <v>(Line 1 - Line 7)</v>
      </c>
      <c r="D61" s="63">
        <f>D45-D53</f>
        <v>277289407.60691214</v>
      </c>
      <c r="E61" s="107"/>
      <c r="F61" s="107"/>
      <c r="G61" s="133"/>
      <c r="H61" s="107"/>
      <c r="I61" s="107" t="s">
        <v>2</v>
      </c>
      <c r="J61" s="107"/>
      <c r="K61" s="133"/>
    </row>
    <row r="62" spans="1:11">
      <c r="A62" s="78">
        <v>14</v>
      </c>
      <c r="B62" s="134" t="str">
        <f>+B54</f>
        <v xml:space="preserve">  Transmission</v>
      </c>
      <c r="C62" s="52" t="str">
        <f>"(Line "&amp;A46&amp;" - Line "&amp;A54&amp;")"</f>
        <v>(Line 2 - Line 8)</v>
      </c>
      <c r="D62" s="63">
        <f>D46-D54</f>
        <v>79217272.017783746</v>
      </c>
      <c r="E62" s="107"/>
      <c r="F62" s="107"/>
      <c r="G62" s="130"/>
      <c r="H62" s="107"/>
      <c r="I62" s="63">
        <f>I46-I54</f>
        <v>75251497.00870727</v>
      </c>
      <c r="J62" s="107"/>
      <c r="K62" s="133"/>
    </row>
    <row r="63" spans="1:11">
      <c r="A63" s="78">
        <v>15</v>
      </c>
      <c r="B63" s="134" t="str">
        <f>+B55</f>
        <v xml:space="preserve">  Distribution</v>
      </c>
      <c r="C63" s="52" t="str">
        <f>"(Line "&amp;A47&amp;" - Line "&amp;A55&amp;")"</f>
        <v>(Line 3 - Line 9)</v>
      </c>
      <c r="D63" s="63">
        <f>D47-D55</f>
        <v>183270888.45110238</v>
      </c>
      <c r="E63" s="107"/>
      <c r="F63" s="107"/>
      <c r="G63" s="133"/>
      <c r="H63" s="107"/>
      <c r="I63" s="63" t="s">
        <v>2</v>
      </c>
      <c r="J63" s="107"/>
      <c r="K63" s="133"/>
    </row>
    <row r="64" spans="1:11">
      <c r="A64" s="78">
        <v>16</v>
      </c>
      <c r="B64" s="134" t="str">
        <f>+B56</f>
        <v xml:space="preserve">  General &amp; Intangible</v>
      </c>
      <c r="C64" s="52" t="str">
        <f>"(Line "&amp;A48&amp;" - Line "&amp;A56&amp;")"</f>
        <v>(Line 4 - Line 10)</v>
      </c>
      <c r="D64" s="63">
        <f>D48-D56</f>
        <v>15497348.136830579</v>
      </c>
      <c r="E64" s="107"/>
      <c r="F64" s="107"/>
      <c r="G64" s="133"/>
      <c r="H64" s="107"/>
      <c r="I64" s="63">
        <f>I48-I56</f>
        <v>1099757.9022283708</v>
      </c>
      <c r="J64" s="107"/>
      <c r="K64" s="133"/>
    </row>
    <row r="65" spans="1:11" ht="13.5" thickBot="1">
      <c r="A65" s="78">
        <v>17</v>
      </c>
      <c r="B65" s="134" t="str">
        <f>+B57</f>
        <v xml:space="preserve">  Common</v>
      </c>
      <c r="C65" s="52" t="str">
        <f>"(Line "&amp;A49&amp;" - Line "&amp;A57&amp;")"</f>
        <v>(Line 5 - Line 11)</v>
      </c>
      <c r="D65" s="64">
        <f>D49-D57</f>
        <v>10033300.615384616</v>
      </c>
      <c r="E65" s="107"/>
      <c r="F65" s="107"/>
      <c r="G65" s="133"/>
      <c r="H65" s="107"/>
      <c r="I65" s="59">
        <f>I49-I57</f>
        <v>699487.19280448905</v>
      </c>
      <c r="J65" s="107"/>
      <c r="K65" s="133"/>
    </row>
    <row r="66" spans="1:11">
      <c r="A66" s="78">
        <v>18</v>
      </c>
      <c r="B66" s="71" t="s">
        <v>368</v>
      </c>
      <c r="C66" s="52" t="s">
        <v>367</v>
      </c>
      <c r="D66" s="63">
        <f>SUM(D61:D65)</f>
        <v>565308216.82801342</v>
      </c>
      <c r="E66" s="107"/>
      <c r="F66" s="107" t="s">
        <v>34</v>
      </c>
      <c r="G66" s="114">
        <f>IF(I66&gt;0,I66/D66,0)</f>
        <v>0.13629864171456341</v>
      </c>
      <c r="H66" s="107"/>
      <c r="I66" s="184">
        <f>SUM(I61:I65)</f>
        <v>77050742.103740126</v>
      </c>
      <c r="J66" s="107"/>
      <c r="K66" s="107"/>
    </row>
    <row r="67" spans="1:11" s="2" customFormat="1">
      <c r="A67" s="53"/>
      <c r="B67" s="54"/>
      <c r="C67" s="52"/>
      <c r="D67" s="55"/>
      <c r="E67" s="51"/>
      <c r="F67" s="51"/>
      <c r="G67" s="56"/>
      <c r="H67" s="51"/>
      <c r="I67" s="63"/>
      <c r="J67" s="52"/>
      <c r="K67" s="52"/>
    </row>
    <row r="68" spans="1:11" s="2" customFormat="1">
      <c r="A68" s="53" t="s">
        <v>369</v>
      </c>
      <c r="B68" s="57" t="s">
        <v>370</v>
      </c>
      <c r="C68" s="58" t="s">
        <v>1116</v>
      </c>
      <c r="D68" s="174">
        <f>'A4-Rate Base'!H23</f>
        <v>0</v>
      </c>
      <c r="E68" s="58"/>
      <c r="F68" s="73"/>
      <c r="G68" s="686"/>
      <c r="H68" s="58"/>
      <c r="I68" s="60">
        <f>+G68*D68</f>
        <v>0</v>
      </c>
      <c r="J68" s="52"/>
      <c r="K68" s="52"/>
    </row>
    <row r="69" spans="1:11" s="2" customFormat="1">
      <c r="A69" s="53"/>
      <c r="B69" s="61"/>
      <c r="C69" s="52"/>
      <c r="D69" s="55"/>
      <c r="E69" s="52"/>
      <c r="F69" s="61"/>
      <c r="G69" s="61"/>
      <c r="H69" s="52"/>
      <c r="I69" s="55"/>
      <c r="J69" s="52"/>
      <c r="K69" s="62"/>
    </row>
    <row r="70" spans="1:11">
      <c r="A70" s="78"/>
      <c r="B70" s="71" t="s">
        <v>746</v>
      </c>
      <c r="C70" s="107"/>
      <c r="D70" s="107"/>
      <c r="E70" s="107"/>
      <c r="F70" s="107"/>
      <c r="G70" s="107"/>
      <c r="H70" s="107"/>
      <c r="I70" s="107"/>
      <c r="J70" s="107"/>
      <c r="K70" s="107"/>
    </row>
    <row r="71" spans="1:11">
      <c r="A71" s="53">
        <f>+A66+1</f>
        <v>19</v>
      </c>
      <c r="B71" s="54" t="s">
        <v>1091</v>
      </c>
      <c r="C71" s="52" t="s">
        <v>668</v>
      </c>
      <c r="D71" s="174">
        <f>'A4-Rate Base'!E70</f>
        <v>0</v>
      </c>
      <c r="E71" s="52"/>
      <c r="F71" s="103" t="s">
        <v>37</v>
      </c>
      <c r="G71" s="65">
        <f>GP</f>
        <v>0.11784364581437545</v>
      </c>
      <c r="H71" s="51"/>
      <c r="I71" s="55">
        <f t="shared" ref="I71:I77" si="2">D71*G71</f>
        <v>0</v>
      </c>
      <c r="J71" s="107"/>
      <c r="K71" s="133"/>
    </row>
    <row r="72" spans="1:11">
      <c r="A72" s="53">
        <f t="shared" ref="A72:A75" si="3">+A71+1</f>
        <v>20</v>
      </c>
      <c r="B72" s="54" t="s">
        <v>1093</v>
      </c>
      <c r="C72" s="52" t="s">
        <v>669</v>
      </c>
      <c r="D72" s="174">
        <f>'A4-Rate Base'!F70</f>
        <v>-71261045.878886372</v>
      </c>
      <c r="E72" s="52"/>
      <c r="F72" s="103" t="s">
        <v>37</v>
      </c>
      <c r="G72" s="65">
        <f>GP</f>
        <v>0.11784364581437545</v>
      </c>
      <c r="H72" s="51"/>
      <c r="I72" s="55">
        <f t="shared" si="2"/>
        <v>-8397661.450913446</v>
      </c>
      <c r="J72" s="107"/>
      <c r="K72" s="133"/>
    </row>
    <row r="73" spans="1:11">
      <c r="A73" s="53">
        <f t="shared" si="3"/>
        <v>21</v>
      </c>
      <c r="B73" s="54" t="s">
        <v>1092</v>
      </c>
      <c r="C73" s="52" t="s">
        <v>670</v>
      </c>
      <c r="D73" s="174">
        <f>'A4-Rate Base'!G70</f>
        <v>-4014949.5</v>
      </c>
      <c r="E73" s="52"/>
      <c r="F73" s="103" t="s">
        <v>37</v>
      </c>
      <c r="G73" s="65">
        <f>GP</f>
        <v>0.11784364581437545</v>
      </c>
      <c r="H73" s="51"/>
      <c r="I73" s="55">
        <f t="shared" si="2"/>
        <v>-473136.2868406038</v>
      </c>
      <c r="J73" s="107"/>
      <c r="K73" s="133"/>
    </row>
    <row r="74" spans="1:11">
      <c r="A74" s="53">
        <f t="shared" si="3"/>
        <v>22</v>
      </c>
      <c r="B74" s="54" t="s">
        <v>136</v>
      </c>
      <c r="C74" s="52" t="s">
        <v>671</v>
      </c>
      <c r="D74" s="174">
        <f>'A4-Rate Base'!H70</f>
        <v>20912418</v>
      </c>
      <c r="E74" s="52"/>
      <c r="F74" s="103" t="s">
        <v>37</v>
      </c>
      <c r="G74" s="65">
        <f>GP</f>
        <v>0.11784364581437545</v>
      </c>
      <c r="H74" s="51"/>
      <c r="I74" s="55">
        <f t="shared" si="2"/>
        <v>2464395.5799141699</v>
      </c>
      <c r="J74" s="107"/>
      <c r="K74" s="133"/>
    </row>
    <row r="75" spans="1:11">
      <c r="A75" s="53">
        <f t="shared" si="3"/>
        <v>23</v>
      </c>
      <c r="B75" s="61" t="s">
        <v>997</v>
      </c>
      <c r="C75" s="61" t="s">
        <v>1024</v>
      </c>
      <c r="D75" s="544">
        <v>0</v>
      </c>
      <c r="E75" s="52"/>
      <c r="F75" s="52"/>
      <c r="G75" s="66">
        <v>0</v>
      </c>
      <c r="H75" s="51"/>
      <c r="I75" s="60">
        <f t="shared" si="2"/>
        <v>0</v>
      </c>
      <c r="J75" s="107"/>
      <c r="K75" s="133"/>
    </row>
    <row r="76" spans="1:11">
      <c r="A76" s="53" t="s">
        <v>375</v>
      </c>
      <c r="B76" s="57" t="s">
        <v>371</v>
      </c>
      <c r="C76" s="58" t="s">
        <v>1026</v>
      </c>
      <c r="D76" s="174">
        <f>'A4-Rate Base'!C70</f>
        <v>0</v>
      </c>
      <c r="E76" s="58"/>
      <c r="F76" s="73"/>
      <c r="G76" s="686"/>
      <c r="H76" s="58"/>
      <c r="I76" s="60">
        <f t="shared" si="2"/>
        <v>0</v>
      </c>
      <c r="J76" s="107"/>
      <c r="K76" s="133"/>
    </row>
    <row r="77" spans="1:11">
      <c r="A77" s="53" t="s">
        <v>376</v>
      </c>
      <c r="B77" s="57" t="s">
        <v>372</v>
      </c>
      <c r="C77" s="58" t="s">
        <v>1027</v>
      </c>
      <c r="D77" s="174">
        <f>'A4-Rate Base'!D70</f>
        <v>0</v>
      </c>
      <c r="E77" s="58"/>
      <c r="F77" s="73"/>
      <c r="G77" s="686"/>
      <c r="H77" s="58"/>
      <c r="I77" s="60">
        <f t="shared" si="2"/>
        <v>0</v>
      </c>
      <c r="J77" s="107"/>
      <c r="K77" s="133"/>
    </row>
    <row r="78" spans="1:11">
      <c r="A78" s="53" t="s">
        <v>377</v>
      </c>
      <c r="B78" s="57" t="s">
        <v>919</v>
      </c>
      <c r="C78" s="58" t="s">
        <v>933</v>
      </c>
      <c r="D78" s="174">
        <f>'A4-Rate Base'!I82</f>
        <v>0</v>
      </c>
      <c r="E78" s="58"/>
      <c r="F78" s="58"/>
      <c r="G78" s="67"/>
      <c r="H78" s="58"/>
      <c r="I78" s="60">
        <f t="shared" ref="I78" si="4">D78</f>
        <v>0</v>
      </c>
      <c r="J78" s="107"/>
      <c r="K78" s="133"/>
    </row>
    <row r="79" spans="1:11">
      <c r="A79" s="53">
        <v>24</v>
      </c>
      <c r="B79" s="134" t="s">
        <v>137</v>
      </c>
      <c r="C79" s="134" t="s">
        <v>1025</v>
      </c>
      <c r="D79" s="174">
        <f>'A3-ADIT'!F24</f>
        <v>145932.04499999998</v>
      </c>
      <c r="E79" s="107"/>
      <c r="F79" s="103" t="s">
        <v>37</v>
      </c>
      <c r="G79" s="65">
        <f>GP</f>
        <v>0.11784364581437545</v>
      </c>
      <c r="H79" s="107"/>
      <c r="I79" s="60">
        <f t="shared" ref="I79" si="5">D79*G79</f>
        <v>17197.164223947497</v>
      </c>
      <c r="J79" s="107"/>
      <c r="K79" s="133"/>
    </row>
    <row r="80" spans="1:11" ht="13.5" thickBot="1">
      <c r="A80" s="78">
        <v>25</v>
      </c>
      <c r="B80" s="134" t="s">
        <v>1201</v>
      </c>
      <c r="C80" s="134" t="s">
        <v>1088</v>
      </c>
      <c r="D80" s="689">
        <f>'A3-ADIT'!I34</f>
        <v>-2946560.2067847447</v>
      </c>
      <c r="E80" s="107"/>
      <c r="F80" s="107"/>
      <c r="G80" s="107"/>
      <c r="H80" s="107"/>
      <c r="I80" s="64">
        <f>D80</f>
        <v>-2946560.2067847447</v>
      </c>
      <c r="J80" s="107"/>
      <c r="K80" s="133"/>
    </row>
    <row r="81" spans="1:11">
      <c r="A81" s="78">
        <v>26</v>
      </c>
      <c r="B81" s="71" t="s">
        <v>380</v>
      </c>
      <c r="C81" s="52" t="s">
        <v>1070</v>
      </c>
      <c r="D81" s="63">
        <f>SUM(D71:D80)</f>
        <v>-57164205.540671118</v>
      </c>
      <c r="E81" s="107"/>
      <c r="F81" s="107"/>
      <c r="G81" s="107"/>
      <c r="H81" s="107"/>
      <c r="I81" s="63">
        <f>SUM(I71:I80)</f>
        <v>-9335765.2004006784</v>
      </c>
      <c r="J81" s="107"/>
      <c r="K81" s="107"/>
    </row>
    <row r="82" spans="1:11">
      <c r="A82" s="78"/>
      <c r="C82" s="107"/>
      <c r="E82" s="107"/>
      <c r="F82" s="107"/>
      <c r="G82" s="133"/>
      <c r="H82" s="107"/>
      <c r="J82" s="107"/>
      <c r="K82" s="133"/>
    </row>
    <row r="83" spans="1:11">
      <c r="A83" s="78">
        <v>27</v>
      </c>
      <c r="B83" s="71" t="s">
        <v>35</v>
      </c>
      <c r="C83" s="69" t="s">
        <v>672</v>
      </c>
      <c r="D83" s="174">
        <f>'A4-Rate Base'!I23</f>
        <v>318000</v>
      </c>
      <c r="E83" s="107"/>
      <c r="F83" s="115" t="str">
        <f>+F54</f>
        <v>TP</v>
      </c>
      <c r="G83" s="114">
        <f>$I$174</f>
        <v>0.94993800079121415</v>
      </c>
      <c r="H83" s="107"/>
      <c r="I83" s="63">
        <f>+G83*D83</f>
        <v>302080.28425160609</v>
      </c>
      <c r="J83" s="107"/>
      <c r="K83" s="107"/>
    </row>
    <row r="84" spans="1:11">
      <c r="A84" s="78"/>
      <c r="B84" s="71"/>
      <c r="C84" s="107"/>
      <c r="D84" s="107"/>
      <c r="E84" s="107"/>
      <c r="F84" s="107"/>
      <c r="G84" s="107"/>
      <c r="H84" s="107"/>
      <c r="I84" s="107"/>
      <c r="J84" s="107"/>
      <c r="K84" s="107"/>
    </row>
    <row r="85" spans="1:11">
      <c r="A85" s="78"/>
      <c r="B85" s="71" t="s">
        <v>142</v>
      </c>
      <c r="C85" s="52" t="s">
        <v>132</v>
      </c>
      <c r="D85" s="107"/>
      <c r="E85" s="107"/>
      <c r="F85" s="107"/>
      <c r="G85" s="107"/>
      <c r="H85" s="107"/>
      <c r="I85" s="107"/>
      <c r="J85" s="107"/>
      <c r="K85" s="107"/>
    </row>
    <row r="86" spans="1:11">
      <c r="A86" s="78">
        <v>28</v>
      </c>
      <c r="B86" s="71" t="s">
        <v>929</v>
      </c>
      <c r="C86" s="61" t="s">
        <v>625</v>
      </c>
      <c r="D86" s="63">
        <f>+D116/8</f>
        <v>2035330.6854000001</v>
      </c>
      <c r="E86" s="107"/>
      <c r="F86" s="107"/>
      <c r="G86" s="133"/>
      <c r="H86" s="107"/>
      <c r="I86" s="63">
        <f>+I116/8</f>
        <v>205436.47367203759</v>
      </c>
      <c r="J86" s="71"/>
      <c r="K86" s="133"/>
    </row>
    <row r="87" spans="1:11">
      <c r="A87" s="78">
        <v>29</v>
      </c>
      <c r="B87" s="71" t="s">
        <v>143</v>
      </c>
      <c r="C87" s="69" t="s">
        <v>981</v>
      </c>
      <c r="D87" s="174">
        <f>'A4-Rate Base'!F107</f>
        <v>60207.051094273898</v>
      </c>
      <c r="E87" s="107"/>
      <c r="F87" s="107" t="s">
        <v>36</v>
      </c>
      <c r="G87" s="131">
        <f>$I$183</f>
        <v>0.9341902831847233</v>
      </c>
      <c r="H87" s="107"/>
      <c r="I87" s="63">
        <f>+G87*D87</f>
        <v>56244.842111476835</v>
      </c>
      <c r="J87" s="107" t="s">
        <v>2</v>
      </c>
      <c r="K87" s="133"/>
    </row>
    <row r="88" spans="1:11" ht="13.5" thickBot="1">
      <c r="A88" s="78">
        <v>30</v>
      </c>
      <c r="B88" s="71" t="s">
        <v>138</v>
      </c>
      <c r="C88" s="51" t="s">
        <v>1089</v>
      </c>
      <c r="D88" s="174">
        <f>'A8-Prepmts'!H33</f>
        <v>107157.3187590544</v>
      </c>
      <c r="E88" s="107"/>
      <c r="F88" s="107"/>
      <c r="G88" s="131"/>
      <c r="H88" s="107"/>
      <c r="I88" s="64">
        <f>D88</f>
        <v>107157.3187590544</v>
      </c>
      <c r="J88" s="107"/>
      <c r="K88" s="133"/>
    </row>
    <row r="89" spans="1:11">
      <c r="A89" s="78">
        <v>31</v>
      </c>
      <c r="B89" s="71" t="s">
        <v>378</v>
      </c>
      <c r="C89" s="52" t="s">
        <v>379</v>
      </c>
      <c r="D89" s="184">
        <f>D86+D87+D88</f>
        <v>2202695.0552533283</v>
      </c>
      <c r="E89" s="71"/>
      <c r="F89" s="71"/>
      <c r="G89" s="71"/>
      <c r="H89" s="71"/>
      <c r="I89" s="63">
        <f>I86+I87+I88</f>
        <v>368838.63454256882</v>
      </c>
      <c r="J89" s="71"/>
      <c r="K89" s="71"/>
    </row>
    <row r="90" spans="1:11" ht="13.5" thickBot="1">
      <c r="C90" s="107"/>
      <c r="E90" s="107"/>
      <c r="F90" s="107"/>
      <c r="G90" s="107"/>
      <c r="H90" s="107"/>
      <c r="I90" s="135"/>
      <c r="J90" s="107"/>
      <c r="K90" s="107"/>
    </row>
    <row r="91" spans="1:11" ht="13.5" thickBot="1">
      <c r="A91" s="78">
        <v>32</v>
      </c>
      <c r="B91" s="71" t="s">
        <v>571</v>
      </c>
      <c r="C91" s="71" t="s">
        <v>572</v>
      </c>
      <c r="D91" s="70">
        <f>+D89+D83+D81+D66</f>
        <v>510664706.34259564</v>
      </c>
      <c r="E91" s="107"/>
      <c r="F91" s="107"/>
      <c r="G91" s="133"/>
      <c r="H91" s="107"/>
      <c r="I91" s="70">
        <f>+I89+I83+I81+I66</f>
        <v>68385895.822133631</v>
      </c>
      <c r="J91" s="107"/>
      <c r="K91" s="133"/>
    </row>
    <row r="92" spans="1:11" ht="13.5" thickTop="1">
      <c r="B92" s="71"/>
      <c r="C92" s="71"/>
      <c r="D92" s="104"/>
      <c r="E92" s="71"/>
      <c r="F92" s="71"/>
      <c r="G92" s="71"/>
      <c r="H92" s="71"/>
      <c r="I92" s="105"/>
      <c r="J92" s="105"/>
      <c r="K92" s="105"/>
    </row>
    <row r="93" spans="1:11">
      <c r="B93" s="71"/>
      <c r="C93" s="71"/>
      <c r="D93" s="104"/>
      <c r="E93" s="71"/>
      <c r="F93" s="71"/>
      <c r="G93" s="71"/>
      <c r="H93" s="71"/>
      <c r="I93" s="762" t="str">
        <f>I1</f>
        <v>Actual Attachment H</v>
      </c>
      <c r="J93" s="762"/>
      <c r="K93" s="762"/>
    </row>
    <row r="94" spans="1:11">
      <c r="B94" s="71"/>
      <c r="C94" s="71"/>
      <c r="D94" s="104"/>
      <c r="E94" s="71"/>
      <c r="F94" s="71"/>
      <c r="G94" s="71"/>
      <c r="H94" s="71"/>
      <c r="I94" s="71"/>
      <c r="J94" s="761" t="s">
        <v>243</v>
      </c>
      <c r="K94" s="761"/>
    </row>
    <row r="95" spans="1:11">
      <c r="B95" s="71"/>
      <c r="C95" s="71"/>
      <c r="D95" s="104"/>
      <c r="E95" s="71"/>
      <c r="F95" s="71"/>
      <c r="G95" s="71"/>
      <c r="H95" s="71"/>
      <c r="I95" s="71"/>
      <c r="J95" s="71"/>
      <c r="K95" s="105"/>
    </row>
    <row r="96" spans="1:11">
      <c r="B96" s="104" t="s">
        <v>0</v>
      </c>
      <c r="C96" s="71"/>
      <c r="D96" s="78" t="s">
        <v>1</v>
      </c>
      <c r="E96" s="71"/>
      <c r="F96" s="71"/>
      <c r="G96" s="71"/>
      <c r="H96" s="71"/>
      <c r="I96" s="71"/>
      <c r="J96" s="71"/>
      <c r="K96" s="121" t="str">
        <f>K4</f>
        <v>Actuals - For the 12 months ended 12/31/2022</v>
      </c>
    </row>
    <row r="97" spans="1:11">
      <c r="B97" s="71"/>
      <c r="C97" s="107"/>
      <c r="D97" s="108" t="s">
        <v>3</v>
      </c>
      <c r="E97" s="107"/>
      <c r="F97" s="107"/>
      <c r="G97" s="107"/>
      <c r="H97" s="71"/>
      <c r="I97" s="71"/>
      <c r="J97" s="71"/>
      <c r="K97" s="71"/>
    </row>
    <row r="98" spans="1:11">
      <c r="B98" s="71"/>
      <c r="C98" s="107"/>
      <c r="D98" s="107"/>
      <c r="E98" s="107"/>
      <c r="F98" s="107"/>
      <c r="G98" s="107"/>
      <c r="H98" s="71"/>
      <c r="I98" s="71"/>
      <c r="J98" s="71"/>
      <c r="K98" s="71"/>
    </row>
    <row r="99" spans="1:11">
      <c r="A99" s="78"/>
      <c r="D99" s="122" t="str">
        <f>C7</f>
        <v>Cheyenne Light, Fuel &amp; Power</v>
      </c>
      <c r="J99" s="107"/>
      <c r="K99" s="107"/>
    </row>
    <row r="100" spans="1:11">
      <c r="A100" s="78"/>
      <c r="D100" s="136"/>
      <c r="J100" s="107"/>
      <c r="K100" s="107"/>
    </row>
    <row r="101" spans="1:11">
      <c r="A101" s="78"/>
      <c r="B101" s="78" t="s">
        <v>15</v>
      </c>
      <c r="C101" s="78" t="s">
        <v>16</v>
      </c>
      <c r="D101" s="78" t="s">
        <v>17</v>
      </c>
      <c r="E101" s="107" t="s">
        <v>2</v>
      </c>
      <c r="F101" s="107"/>
      <c r="G101" s="123" t="s">
        <v>18</v>
      </c>
      <c r="H101" s="107"/>
      <c r="I101" s="124" t="s">
        <v>19</v>
      </c>
      <c r="J101" s="107"/>
      <c r="K101" s="107"/>
    </row>
    <row r="102" spans="1:11">
      <c r="A102" s="78" t="s">
        <v>4</v>
      </c>
      <c r="B102" s="71"/>
      <c r="C102" s="125" t="s">
        <v>20</v>
      </c>
      <c r="D102" s="107"/>
      <c r="E102" s="107"/>
      <c r="F102" s="107"/>
      <c r="G102" s="78"/>
      <c r="H102" s="107"/>
      <c r="I102" s="126" t="s">
        <v>21</v>
      </c>
      <c r="J102" s="107"/>
      <c r="K102" s="126"/>
    </row>
    <row r="103" spans="1:11" ht="13.5" thickBot="1">
      <c r="A103" s="111" t="s">
        <v>6</v>
      </c>
      <c r="B103" s="71"/>
      <c r="C103" s="127" t="s">
        <v>22</v>
      </c>
      <c r="D103" s="126" t="s">
        <v>23</v>
      </c>
      <c r="E103" s="128"/>
      <c r="F103" s="126" t="s">
        <v>24</v>
      </c>
      <c r="H103" s="128"/>
      <c r="I103" s="78" t="s">
        <v>25</v>
      </c>
      <c r="J103" s="107"/>
      <c r="K103" s="126"/>
    </row>
    <row r="104" spans="1:11">
      <c r="A104" s="78"/>
      <c r="B104" s="71" t="s">
        <v>146</v>
      </c>
      <c r="C104" s="107"/>
      <c r="D104" s="107"/>
      <c r="E104" s="107"/>
      <c r="F104" s="107"/>
      <c r="G104" s="107"/>
      <c r="H104" s="107"/>
      <c r="I104" s="107"/>
      <c r="J104" s="107"/>
      <c r="K104" s="107"/>
    </row>
    <row r="105" spans="1:11">
      <c r="A105" s="78">
        <v>1</v>
      </c>
      <c r="B105" s="71" t="s">
        <v>38</v>
      </c>
      <c r="C105" s="107" t="s">
        <v>113</v>
      </c>
      <c r="D105" s="73">
        <v>23350387</v>
      </c>
      <c r="E105" s="107"/>
      <c r="F105" s="107" t="s">
        <v>36</v>
      </c>
      <c r="G105" s="131">
        <f>$I$183</f>
        <v>0.9341902831847233</v>
      </c>
      <c r="H105" s="107"/>
      <c r="I105" s="63">
        <f>+G105*D105</f>
        <v>21813704.644002881</v>
      </c>
      <c r="J105" s="71"/>
      <c r="K105" s="107"/>
    </row>
    <row r="106" spans="1:11">
      <c r="A106" s="78">
        <v>2</v>
      </c>
      <c r="B106" s="71" t="s">
        <v>785</v>
      </c>
      <c r="C106" s="107" t="s">
        <v>786</v>
      </c>
      <c r="D106" s="73">
        <f>100356+224713+62025</f>
        <v>387094</v>
      </c>
      <c r="E106" s="107"/>
      <c r="F106" s="107" t="s">
        <v>36</v>
      </c>
      <c r="G106" s="131">
        <f>$I$183</f>
        <v>0.9341902831847233</v>
      </c>
      <c r="H106" s="107"/>
      <c r="I106" s="55">
        <f t="shared" ref="I106:I115" si="6">+G106*D106</f>
        <v>361619.45347910729</v>
      </c>
      <c r="J106" s="71"/>
      <c r="K106" s="107"/>
    </row>
    <row r="107" spans="1:11">
      <c r="A107" s="78" t="s">
        <v>145</v>
      </c>
      <c r="B107" s="71" t="s">
        <v>39</v>
      </c>
      <c r="C107" s="107" t="s">
        <v>114</v>
      </c>
      <c r="D107" s="73">
        <v>22397965</v>
      </c>
      <c r="E107" s="107"/>
      <c r="F107" s="107" t="s">
        <v>36</v>
      </c>
      <c r="G107" s="131">
        <f>$I$183</f>
        <v>0.9341902831847233</v>
      </c>
      <c r="H107" s="107"/>
      <c r="I107" s="55">
        <f t="shared" ref="I107" si="7">+G107*D107</f>
        <v>20923961.266111523</v>
      </c>
      <c r="J107" s="71"/>
      <c r="K107" s="107"/>
    </row>
    <row r="108" spans="1:11">
      <c r="A108" s="78">
        <v>3</v>
      </c>
      <c r="B108" s="71" t="s">
        <v>40</v>
      </c>
      <c r="C108" s="107" t="s">
        <v>115</v>
      </c>
      <c r="D108" s="73">
        <v>16571858</v>
      </c>
      <c r="E108" s="107"/>
      <c r="F108" s="107" t="s">
        <v>31</v>
      </c>
      <c r="G108" s="131">
        <f>$I$191</f>
        <v>7.0964263854582682E-2</v>
      </c>
      <c r="H108" s="107"/>
      <c r="I108" s="63">
        <f t="shared" si="6"/>
        <v>1176009.7036726768</v>
      </c>
      <c r="J108" s="107"/>
      <c r="K108" s="107" t="s">
        <v>2</v>
      </c>
    </row>
    <row r="109" spans="1:11">
      <c r="A109" s="78">
        <v>4</v>
      </c>
      <c r="B109" s="71" t="s">
        <v>1217</v>
      </c>
      <c r="C109" s="107"/>
      <c r="D109" s="107"/>
      <c r="E109" s="107"/>
      <c r="F109" s="115"/>
      <c r="G109" s="131"/>
      <c r="H109" s="107"/>
      <c r="I109" s="63"/>
      <c r="J109" s="107"/>
      <c r="K109" s="107"/>
    </row>
    <row r="110" spans="1:11">
      <c r="A110" s="78">
        <v>5</v>
      </c>
      <c r="B110" s="71" t="s">
        <v>465</v>
      </c>
      <c r="C110" s="107" t="s">
        <v>651</v>
      </c>
      <c r="D110" s="174">
        <f>'A2-A&amp;G'!D14</f>
        <v>912490.44</v>
      </c>
      <c r="E110" s="107"/>
      <c r="F110" s="115" t="str">
        <f>F108</f>
        <v>W/S</v>
      </c>
      <c r="G110" s="131">
        <f>$I$191</f>
        <v>7.0964263854582682E-2</v>
      </c>
      <c r="H110" s="107"/>
      <c r="I110" s="55">
        <f t="shared" si="6"/>
        <v>64754.212348944246</v>
      </c>
      <c r="J110" s="107"/>
      <c r="K110" s="107"/>
    </row>
    <row r="111" spans="1:11">
      <c r="A111" s="78" t="s">
        <v>102</v>
      </c>
      <c r="B111" s="71" t="s">
        <v>642</v>
      </c>
      <c r="C111" s="107" t="s">
        <v>915</v>
      </c>
      <c r="D111" s="174">
        <f>'A2-A&amp;G'!D23</f>
        <v>0</v>
      </c>
      <c r="E111" s="107"/>
      <c r="F111" s="137" t="str">
        <f>+F105</f>
        <v>TE</v>
      </c>
      <c r="G111" s="131">
        <f>$I$183</f>
        <v>0.9341902831847233</v>
      </c>
      <c r="H111" s="107"/>
      <c r="I111" s="55">
        <f>+G111*D111</f>
        <v>0</v>
      </c>
      <c r="J111" s="107"/>
      <c r="K111" s="107"/>
    </row>
    <row r="112" spans="1:11">
      <c r="A112" s="78" t="s">
        <v>149</v>
      </c>
      <c r="B112" s="71" t="s">
        <v>930</v>
      </c>
      <c r="C112" s="107" t="s">
        <v>265</v>
      </c>
      <c r="D112" s="738">
        <v>510002.8064</v>
      </c>
      <c r="E112" s="107"/>
      <c r="F112" s="115" t="s">
        <v>31</v>
      </c>
      <c r="G112" s="131">
        <f>$I$191</f>
        <v>7.0964263854582682E-2</v>
      </c>
      <c r="H112" s="107"/>
      <c r="I112" s="60">
        <f t="shared" ref="I112:I113" si="8">+G112*D112</f>
        <v>36191.973719947251</v>
      </c>
      <c r="J112" s="107"/>
      <c r="K112" s="107"/>
    </row>
    <row r="113" spans="1:11">
      <c r="A113" s="78" t="s">
        <v>150</v>
      </c>
      <c r="B113" s="71" t="s">
        <v>931</v>
      </c>
      <c r="C113" s="107" t="s">
        <v>676</v>
      </c>
      <c r="D113" s="174">
        <f>'A2-A&amp;G'!D31</f>
        <v>452052.88319999998</v>
      </c>
      <c r="E113" s="107"/>
      <c r="F113" s="115" t="str">
        <f>+F112</f>
        <v>W/S</v>
      </c>
      <c r="G113" s="131">
        <f>$I$191</f>
        <v>7.0964263854582682E-2</v>
      </c>
      <c r="H113" s="107"/>
      <c r="I113" s="60">
        <f t="shared" si="8"/>
        <v>32079.600079629647</v>
      </c>
      <c r="J113" s="107"/>
      <c r="K113" s="107"/>
    </row>
    <row r="114" spans="1:11">
      <c r="A114" s="78">
        <v>6</v>
      </c>
      <c r="B114" s="71" t="s">
        <v>32</v>
      </c>
      <c r="C114" s="593" t="s">
        <v>916</v>
      </c>
      <c r="D114" s="73">
        <v>0</v>
      </c>
      <c r="E114" s="107"/>
      <c r="F114" s="107" t="s">
        <v>67</v>
      </c>
      <c r="G114" s="131">
        <f>$K$195</f>
        <v>6.9716558849231183E-2</v>
      </c>
      <c r="H114" s="107"/>
      <c r="I114" s="63">
        <f t="shared" si="6"/>
        <v>0</v>
      </c>
      <c r="J114" s="107"/>
      <c r="K114" s="107"/>
    </row>
    <row r="115" spans="1:11" ht="13.5" thickBot="1">
      <c r="A115" s="78">
        <v>7</v>
      </c>
      <c r="B115" s="71" t="s">
        <v>41</v>
      </c>
      <c r="C115" s="107" t="s">
        <v>654</v>
      </c>
      <c r="D115" s="73">
        <v>0</v>
      </c>
      <c r="E115" s="107"/>
      <c r="F115" s="107" t="s">
        <v>373</v>
      </c>
      <c r="G115" s="130">
        <v>1</v>
      </c>
      <c r="H115" s="107"/>
      <c r="I115" s="64">
        <f t="shared" si="6"/>
        <v>0</v>
      </c>
      <c r="J115" s="107"/>
      <c r="K115" s="107"/>
    </row>
    <row r="116" spans="1:11">
      <c r="A116" s="78">
        <v>8</v>
      </c>
      <c r="B116" s="71" t="s">
        <v>1218</v>
      </c>
      <c r="C116" s="107"/>
      <c r="D116" s="72">
        <f>+D105-D106-D107+D108-D110+D114+D115+D111+D112-D113</f>
        <v>16282645.483200001</v>
      </c>
      <c r="E116" s="107"/>
      <c r="F116" s="107"/>
      <c r="G116" s="107"/>
      <c r="H116" s="107"/>
      <c r="I116" s="72">
        <f>+I105-I106-I107+I108-I110+I114+I115+I111+I112-I113</f>
        <v>1643491.7893763008</v>
      </c>
      <c r="J116" s="107"/>
      <c r="K116" s="107"/>
    </row>
    <row r="117" spans="1:11">
      <c r="A117" s="78"/>
      <c r="C117" s="107"/>
      <c r="E117" s="107"/>
      <c r="F117" s="107"/>
      <c r="G117" s="107"/>
      <c r="H117" s="107"/>
      <c r="J117" s="107"/>
      <c r="K117" s="107"/>
    </row>
    <row r="118" spans="1:11">
      <c r="A118" s="78"/>
      <c r="B118" s="71" t="s">
        <v>474</v>
      </c>
      <c r="C118" s="107"/>
      <c r="D118" s="107"/>
      <c r="E118" s="107"/>
      <c r="F118" s="107"/>
      <c r="G118" s="107"/>
      <c r="H118" s="107"/>
      <c r="I118" s="107"/>
      <c r="J118" s="107"/>
      <c r="K118" s="107"/>
    </row>
    <row r="119" spans="1:11">
      <c r="A119" s="78">
        <v>9</v>
      </c>
      <c r="B119" s="134" t="str">
        <f>+B105</f>
        <v xml:space="preserve">  Transmission </v>
      </c>
      <c r="C119" s="107" t="s">
        <v>381</v>
      </c>
      <c r="D119" s="73">
        <v>1855677.8317125004</v>
      </c>
      <c r="E119" s="107"/>
      <c r="F119" s="107" t="s">
        <v>11</v>
      </c>
      <c r="G119" s="114">
        <f>$I$174</f>
        <v>0.94993800079121415</v>
      </c>
      <c r="H119" s="107"/>
      <c r="I119" s="63">
        <f>+G119*D119</f>
        <v>1762778.8895695477</v>
      </c>
      <c r="J119" s="107"/>
      <c r="K119" s="133"/>
    </row>
    <row r="120" spans="1:11">
      <c r="A120" s="78">
        <v>10</v>
      </c>
      <c r="B120" s="71" t="s">
        <v>127</v>
      </c>
      <c r="C120" s="107" t="s">
        <v>129</v>
      </c>
      <c r="D120" s="73">
        <f>2254790+0</f>
        <v>2254790</v>
      </c>
      <c r="E120" s="107"/>
      <c r="F120" s="107" t="s">
        <v>31</v>
      </c>
      <c r="G120" s="131">
        <f>$I$191</f>
        <v>7.0964263854582682E-2</v>
      </c>
      <c r="H120" s="107"/>
      <c r="I120" s="63">
        <f>+G120*D120</f>
        <v>160009.51249667449</v>
      </c>
      <c r="J120" s="107"/>
      <c r="K120" s="133"/>
    </row>
    <row r="121" spans="1:11">
      <c r="A121" s="78">
        <v>11</v>
      </c>
      <c r="B121" s="134" t="str">
        <f>+B114</f>
        <v xml:space="preserve">  Common</v>
      </c>
      <c r="C121" s="107" t="s">
        <v>387</v>
      </c>
      <c r="D121" s="73">
        <v>205654</v>
      </c>
      <c r="E121" s="107"/>
      <c r="F121" s="107" t="s">
        <v>67</v>
      </c>
      <c r="G121" s="131">
        <f>$K$195</f>
        <v>6.9716558849231183E-2</v>
      </c>
      <c r="H121" s="107"/>
      <c r="I121" s="63">
        <f>+G121*D121</f>
        <v>14337.48919357979</v>
      </c>
      <c r="J121" s="107"/>
      <c r="K121" s="133"/>
    </row>
    <row r="122" spans="1:11" s="2" customFormat="1" ht="13.5" thickBot="1">
      <c r="A122" s="74" t="s">
        <v>383</v>
      </c>
      <c r="B122" s="57" t="s">
        <v>389</v>
      </c>
      <c r="C122" s="75" t="s">
        <v>481</v>
      </c>
      <c r="D122" s="73">
        <v>0</v>
      </c>
      <c r="E122" s="55"/>
      <c r="F122" s="73"/>
      <c r="G122" s="686"/>
      <c r="H122" s="55"/>
      <c r="I122" s="68">
        <f>+G122*D122</f>
        <v>0</v>
      </c>
      <c r="J122" s="52"/>
      <c r="K122" s="62"/>
    </row>
    <row r="123" spans="1:11">
      <c r="A123" s="78">
        <v>12</v>
      </c>
      <c r="B123" s="71" t="s">
        <v>390</v>
      </c>
      <c r="C123" s="52" t="s">
        <v>391</v>
      </c>
      <c r="D123" s="72">
        <f>SUM(D119:D122)</f>
        <v>4316121.8317125002</v>
      </c>
      <c r="E123" s="107"/>
      <c r="F123" s="107"/>
      <c r="G123" s="107"/>
      <c r="H123" s="107"/>
      <c r="I123" s="63">
        <f>SUM(I119:I122)</f>
        <v>1937125.891259802</v>
      </c>
      <c r="J123" s="107"/>
      <c r="K123" s="107"/>
    </row>
    <row r="124" spans="1:11">
      <c r="A124" s="78"/>
      <c r="B124" s="71"/>
      <c r="C124" s="107"/>
      <c r="D124" s="107"/>
      <c r="E124" s="107"/>
      <c r="F124" s="107"/>
      <c r="G124" s="107"/>
      <c r="H124" s="107"/>
      <c r="I124" s="107"/>
      <c r="J124" s="107"/>
      <c r="K124" s="107"/>
    </row>
    <row r="125" spans="1:11">
      <c r="A125" s="78" t="s">
        <v>2</v>
      </c>
      <c r="B125" s="71" t="s">
        <v>468</v>
      </c>
      <c r="D125" s="107"/>
      <c r="E125" s="107"/>
      <c r="F125" s="107"/>
      <c r="G125" s="107"/>
      <c r="H125" s="107"/>
      <c r="I125" s="107"/>
      <c r="J125" s="107"/>
      <c r="K125" s="107"/>
    </row>
    <row r="126" spans="1:11">
      <c r="A126" s="78"/>
      <c r="B126" s="71" t="s">
        <v>42</v>
      </c>
      <c r="E126" s="107"/>
      <c r="F126" s="107"/>
      <c r="H126" s="107"/>
      <c r="J126" s="107"/>
      <c r="K126" s="133"/>
    </row>
    <row r="127" spans="1:11">
      <c r="A127" s="78">
        <v>13</v>
      </c>
      <c r="B127" s="71" t="s">
        <v>43</v>
      </c>
      <c r="C127" s="107" t="s">
        <v>106</v>
      </c>
      <c r="D127" s="73">
        <f>842439+8599+23963</f>
        <v>875001</v>
      </c>
      <c r="E127" s="107"/>
      <c r="F127" s="107" t="s">
        <v>31</v>
      </c>
      <c r="G127" s="131">
        <f>$I$191</f>
        <v>7.0964263854582682E-2</v>
      </c>
      <c r="H127" s="107"/>
      <c r="I127" s="63">
        <f>+G127*D127</f>
        <v>62093.801837023704</v>
      </c>
      <c r="J127" s="107"/>
      <c r="K127" s="133"/>
    </row>
    <row r="128" spans="1:11">
      <c r="A128" s="78">
        <v>14</v>
      </c>
      <c r="B128" s="71" t="s">
        <v>44</v>
      </c>
      <c r="C128" s="115" t="str">
        <f>+C127</f>
        <v>263.i</v>
      </c>
      <c r="D128" s="73">
        <v>0</v>
      </c>
      <c r="E128" s="107"/>
      <c r="F128" s="115" t="str">
        <f>+F127</f>
        <v>W/S</v>
      </c>
      <c r="G128" s="131">
        <f>$I$191</f>
        <v>7.0964263854582682E-2</v>
      </c>
      <c r="H128" s="107"/>
      <c r="I128" s="63">
        <f>+G128*D128</f>
        <v>0</v>
      </c>
      <c r="J128" s="107"/>
      <c r="K128" s="133"/>
    </row>
    <row r="129" spans="1:11">
      <c r="A129" s="78">
        <v>15</v>
      </c>
      <c r="B129" s="71" t="s">
        <v>45</v>
      </c>
      <c r="C129" s="107" t="s">
        <v>2</v>
      </c>
      <c r="E129" s="107"/>
      <c r="F129" s="107"/>
      <c r="H129" s="107"/>
      <c r="J129" s="107"/>
      <c r="K129" s="133"/>
    </row>
    <row r="130" spans="1:11">
      <c r="A130" s="78">
        <v>16</v>
      </c>
      <c r="B130" s="71" t="s">
        <v>46</v>
      </c>
      <c r="C130" s="107" t="s">
        <v>106</v>
      </c>
      <c r="D130" s="73">
        <v>2884298.3599999994</v>
      </c>
      <c r="E130" s="107"/>
      <c r="F130" s="107" t="s">
        <v>37</v>
      </c>
      <c r="G130" s="131">
        <f>+$G$50</f>
        <v>0.11784364581437545</v>
      </c>
      <c r="H130" s="107"/>
      <c r="I130" s="63">
        <f>+G130*D130</f>
        <v>339896.23435882392</v>
      </c>
      <c r="J130" s="107"/>
      <c r="K130" s="133"/>
    </row>
    <row r="131" spans="1:11">
      <c r="A131" s="78">
        <v>17</v>
      </c>
      <c r="B131" s="71" t="s">
        <v>47</v>
      </c>
      <c r="C131" s="107" t="s">
        <v>106</v>
      </c>
      <c r="D131" s="73">
        <v>1950348.4399999997</v>
      </c>
      <c r="E131" s="107"/>
      <c r="F131" s="115" t="s">
        <v>27</v>
      </c>
      <c r="G131" s="138">
        <v>0</v>
      </c>
      <c r="H131" s="107"/>
      <c r="I131" s="63">
        <v>0</v>
      </c>
      <c r="J131" s="107"/>
      <c r="K131" s="133"/>
    </row>
    <row r="132" spans="1:11">
      <c r="A132" s="78">
        <v>18</v>
      </c>
      <c r="B132" s="71" t="s">
        <v>1119</v>
      </c>
      <c r="C132" s="115" t="str">
        <f>+C131</f>
        <v>263.i</v>
      </c>
      <c r="D132" s="73">
        <v>0</v>
      </c>
      <c r="E132" s="107"/>
      <c r="F132" s="73"/>
      <c r="G132" s="686"/>
      <c r="H132" s="107"/>
      <c r="I132" s="63">
        <f>+G132*D132</f>
        <v>0</v>
      </c>
      <c r="J132" s="107"/>
      <c r="K132" s="133"/>
    </row>
    <row r="133" spans="1:11" ht="13.5" thickBot="1">
      <c r="A133" s="78">
        <v>19</v>
      </c>
      <c r="B133" s="71" t="s">
        <v>1130</v>
      </c>
      <c r="C133" s="107"/>
      <c r="D133" s="175"/>
      <c r="E133" s="107"/>
      <c r="F133" s="107"/>
      <c r="G133" s="131"/>
      <c r="H133" s="107"/>
      <c r="I133" s="63"/>
      <c r="J133" s="107"/>
      <c r="K133" s="133"/>
    </row>
    <row r="134" spans="1:11">
      <c r="A134" s="78">
        <v>20</v>
      </c>
      <c r="B134" s="71" t="s">
        <v>393</v>
      </c>
      <c r="C134" s="52" t="s">
        <v>392</v>
      </c>
      <c r="D134" s="72">
        <f>SUM(D127:D133)</f>
        <v>5709647.7999999989</v>
      </c>
      <c r="E134" s="107"/>
      <c r="F134" s="107"/>
      <c r="G134" s="118"/>
      <c r="H134" s="107"/>
      <c r="I134" s="72">
        <f>SUM(I127:I133)</f>
        <v>401990.03619584761</v>
      </c>
      <c r="J134" s="107"/>
      <c r="K134" s="107"/>
    </row>
    <row r="135" spans="1:11">
      <c r="A135" s="78"/>
      <c r="B135" s="71"/>
      <c r="C135" s="107"/>
      <c r="D135" s="107"/>
      <c r="E135" s="107"/>
      <c r="F135" s="107"/>
      <c r="G135" s="118"/>
      <c r="H135" s="107"/>
      <c r="I135" s="107"/>
      <c r="J135" s="107"/>
      <c r="K135" s="107"/>
    </row>
    <row r="136" spans="1:11">
      <c r="A136" s="78" t="s">
        <v>2</v>
      </c>
      <c r="B136" s="71" t="s">
        <v>49</v>
      </c>
      <c r="C136" s="107" t="s">
        <v>466</v>
      </c>
      <c r="D136" s="107"/>
      <c r="E136" s="107"/>
      <c r="G136" s="139"/>
      <c r="H136" s="107"/>
      <c r="J136" s="107"/>
    </row>
    <row r="137" spans="1:11">
      <c r="A137" s="78">
        <v>21</v>
      </c>
      <c r="B137" s="140" t="s">
        <v>98</v>
      </c>
      <c r="C137" s="107"/>
      <c r="D137" s="141">
        <f>IF(D243&gt;0,1-(((1-D244)*(1-D243))/(1-D244*D243*D245)),0)</f>
        <v>0.20999999999999996</v>
      </c>
      <c r="E137" s="107"/>
      <c r="G137" s="139"/>
      <c r="H137" s="107"/>
      <c r="J137" s="107"/>
    </row>
    <row r="138" spans="1:11">
      <c r="A138" s="78">
        <v>22</v>
      </c>
      <c r="B138" s="103" t="s">
        <v>946</v>
      </c>
      <c r="C138" s="107"/>
      <c r="D138" s="141">
        <f>IF(I215&gt;0,(D137/(1-D137))*(1-I212/I215),0)</f>
        <v>0.1605429368036361</v>
      </c>
      <c r="E138" s="107"/>
      <c r="G138" s="139"/>
      <c r="H138" s="107"/>
      <c r="J138" s="107"/>
    </row>
    <row r="139" spans="1:11">
      <c r="A139" s="78"/>
      <c r="B139" s="71" t="s">
        <v>148</v>
      </c>
      <c r="C139" s="107"/>
      <c r="D139" s="107"/>
      <c r="E139" s="107"/>
      <c r="G139" s="139"/>
      <c r="H139" s="107"/>
      <c r="J139" s="107"/>
    </row>
    <row r="140" spans="1:11">
      <c r="A140" s="78"/>
      <c r="B140" s="71" t="s">
        <v>638</v>
      </c>
      <c r="C140" s="107"/>
      <c r="D140" s="107"/>
      <c r="E140" s="107"/>
      <c r="G140" s="139"/>
      <c r="H140" s="107"/>
      <c r="J140" s="107"/>
    </row>
    <row r="141" spans="1:11">
      <c r="A141" s="78">
        <v>23</v>
      </c>
      <c r="B141" s="140" t="s">
        <v>99</v>
      </c>
      <c r="C141" s="107"/>
      <c r="D141" s="383">
        <f>IF(D137&gt;0,1/(1-D137),0)</f>
        <v>1.2658227848101264</v>
      </c>
      <c r="E141" s="107"/>
      <c r="G141" s="139"/>
      <c r="H141" s="107"/>
      <c r="J141" s="107"/>
    </row>
    <row r="142" spans="1:11">
      <c r="A142" s="78">
        <v>24</v>
      </c>
      <c r="B142" s="71" t="s">
        <v>944</v>
      </c>
      <c r="C142" s="107" t="s">
        <v>386</v>
      </c>
      <c r="D142" s="73">
        <v>2250</v>
      </c>
      <c r="E142" s="107"/>
      <c r="G142" s="139"/>
      <c r="H142" s="107"/>
      <c r="J142" s="107"/>
    </row>
    <row r="143" spans="1:11">
      <c r="A143" s="78" t="s">
        <v>384</v>
      </c>
      <c r="B143" s="54" t="s">
        <v>1199</v>
      </c>
      <c r="C143" s="134" t="s">
        <v>1138</v>
      </c>
      <c r="D143" s="174">
        <f>'A4-Rate Base'!G113</f>
        <v>95264.263039999991</v>
      </c>
      <c r="E143" s="107"/>
      <c r="G143" s="139"/>
      <c r="H143" s="107"/>
      <c r="J143" s="107"/>
    </row>
    <row r="144" spans="1:11">
      <c r="A144" s="78" t="s">
        <v>831</v>
      </c>
      <c r="B144" s="54" t="s">
        <v>1200</v>
      </c>
      <c r="C144" s="52" t="s">
        <v>1170</v>
      </c>
      <c r="D144" s="174">
        <f>'A9-PermDiffs'!G17</f>
        <v>19930.266428099931</v>
      </c>
      <c r="E144" s="107"/>
      <c r="G144" s="139"/>
      <c r="H144" s="107"/>
      <c r="J144" s="107"/>
    </row>
    <row r="145" spans="1:11">
      <c r="A145" s="78" t="s">
        <v>385</v>
      </c>
      <c r="B145" s="54" t="s">
        <v>382</v>
      </c>
      <c r="C145" s="52" t="s">
        <v>949</v>
      </c>
      <c r="D145" s="63">
        <f>D144*D137</f>
        <v>4185.3559499009843</v>
      </c>
      <c r="E145" s="107"/>
      <c r="G145" s="139"/>
      <c r="H145" s="107"/>
      <c r="J145" s="107"/>
    </row>
    <row r="146" spans="1:11">
      <c r="A146" s="78">
        <v>25</v>
      </c>
      <c r="B146" s="140" t="s">
        <v>396</v>
      </c>
      <c r="C146" s="142" t="s">
        <v>394</v>
      </c>
      <c r="D146" s="63">
        <f>D138*D153</f>
        <v>7522693.4454581803</v>
      </c>
      <c r="E146" s="107"/>
      <c r="F146" s="107"/>
      <c r="G146" s="118"/>
      <c r="H146" s="107"/>
      <c r="I146" s="63">
        <f>D138*I153</f>
        <v>1007404.9055542486</v>
      </c>
      <c r="J146" s="107"/>
      <c r="K146" s="143" t="s">
        <v>2</v>
      </c>
    </row>
    <row r="147" spans="1:11">
      <c r="A147" s="78">
        <v>26</v>
      </c>
      <c r="B147" s="103" t="s">
        <v>397</v>
      </c>
      <c r="C147" s="142" t="s">
        <v>395</v>
      </c>
      <c r="D147" s="63">
        <f>D141*D142</f>
        <v>2848.1012658227846</v>
      </c>
      <c r="E147" s="107"/>
      <c r="F147" s="103" t="s">
        <v>37</v>
      </c>
      <c r="G147" s="65">
        <f>GP</f>
        <v>0.11784364581437545</v>
      </c>
      <c r="H147" s="107"/>
      <c r="I147" s="63">
        <f>G147*D147</f>
        <v>335.63063681309461</v>
      </c>
      <c r="J147" s="107"/>
      <c r="K147" s="143"/>
    </row>
    <row r="148" spans="1:11">
      <c r="A148" s="78" t="s">
        <v>398</v>
      </c>
      <c r="B148" s="61" t="s">
        <v>400</v>
      </c>
      <c r="C148" s="76" t="s">
        <v>402</v>
      </c>
      <c r="D148" s="63">
        <f>D141*D143</f>
        <v>120587.67473417718</v>
      </c>
      <c r="E148" s="107"/>
      <c r="G148" s="66"/>
      <c r="H148" s="107"/>
      <c r="I148" s="63">
        <f>D148</f>
        <v>120587.67473417718</v>
      </c>
      <c r="J148" s="107"/>
      <c r="K148" s="143"/>
    </row>
    <row r="149" spans="1:11" ht="13.5" thickBot="1">
      <c r="A149" s="78" t="s">
        <v>399</v>
      </c>
      <c r="B149" s="61" t="s">
        <v>401</v>
      </c>
      <c r="C149" s="76" t="s">
        <v>403</v>
      </c>
      <c r="D149" s="63">
        <f>D141*D145</f>
        <v>5297.9189239252964</v>
      </c>
      <c r="E149" s="107"/>
      <c r="G149" s="66"/>
      <c r="H149" s="107"/>
      <c r="I149" s="63">
        <f>D149</f>
        <v>5297.9189239252964</v>
      </c>
      <c r="J149" s="107"/>
      <c r="K149" s="143"/>
    </row>
    <row r="150" spans="1:11">
      <c r="A150" s="78">
        <v>27</v>
      </c>
      <c r="B150" s="140" t="s">
        <v>92</v>
      </c>
      <c r="C150" s="61" t="s">
        <v>945</v>
      </c>
      <c r="D150" s="72">
        <f>D146+D149-D147-D148</f>
        <v>7404555.5883821063</v>
      </c>
      <c r="E150" s="107"/>
      <c r="F150" s="107" t="s">
        <v>2</v>
      </c>
      <c r="G150" s="118" t="s">
        <v>2</v>
      </c>
      <c r="H150" s="107"/>
      <c r="I150" s="72">
        <f>I146+I149-I147-I148</f>
        <v>891779.51910718356</v>
      </c>
      <c r="J150" s="107"/>
      <c r="K150" s="107"/>
    </row>
    <row r="151" spans="1:11">
      <c r="A151" s="78" t="s">
        <v>2</v>
      </c>
      <c r="C151" s="144"/>
      <c r="D151" s="107"/>
      <c r="E151" s="107"/>
      <c r="F151" s="107"/>
      <c r="G151" s="118"/>
      <c r="H151" s="107"/>
      <c r="I151" s="107"/>
      <c r="J151" s="107"/>
      <c r="K151" s="107"/>
    </row>
    <row r="152" spans="1:11">
      <c r="B152" s="71" t="s">
        <v>50</v>
      </c>
      <c r="C152" s="133"/>
      <c r="J152" s="107"/>
    </row>
    <row r="153" spans="1:11">
      <c r="A153" s="78">
        <v>28</v>
      </c>
      <c r="B153" s="140" t="s">
        <v>701</v>
      </c>
      <c r="C153" s="752" t="s">
        <v>1084</v>
      </c>
      <c r="D153" s="174">
        <f>+$I215*D91+I218</f>
        <v>46857828.785450503</v>
      </c>
      <c r="E153" s="107"/>
      <c r="F153" s="107"/>
      <c r="G153" s="139"/>
      <c r="H153" s="107"/>
      <c r="I153" s="63">
        <f>+$I215*I91+I218</f>
        <v>6274987.399703729</v>
      </c>
      <c r="J153" s="107"/>
      <c r="K153" s="133"/>
    </row>
    <row r="154" spans="1:11">
      <c r="A154" s="78"/>
      <c r="B154" s="71"/>
      <c r="D154" s="107"/>
      <c r="E154" s="107"/>
      <c r="F154" s="107"/>
      <c r="G154" s="139"/>
      <c r="H154" s="107"/>
      <c r="I154" s="107"/>
      <c r="J154" s="107"/>
      <c r="K154" s="133"/>
    </row>
    <row r="155" spans="1:11" ht="13.5" thickBot="1">
      <c r="A155" s="78">
        <v>29</v>
      </c>
      <c r="B155" s="71" t="s">
        <v>405</v>
      </c>
      <c r="C155" s="107" t="s">
        <v>404</v>
      </c>
      <c r="D155" s="77">
        <f>+D116+D123+D134+D150+D153</f>
        <v>80570799.488745108</v>
      </c>
      <c r="E155" s="107"/>
      <c r="F155" s="107"/>
      <c r="G155" s="107"/>
      <c r="H155" s="107"/>
      <c r="I155" s="77">
        <f>+I116+I123+I134+I150+I153</f>
        <v>11149374.635642864</v>
      </c>
      <c r="J155" s="71"/>
      <c r="K155" s="71"/>
    </row>
    <row r="156" spans="1:11" ht="13.5" thickTop="1">
      <c r="A156" s="78"/>
      <c r="B156" s="71"/>
      <c r="C156" s="107"/>
      <c r="D156" s="115"/>
      <c r="E156" s="107"/>
      <c r="F156" s="107"/>
      <c r="G156" s="107"/>
      <c r="H156" s="107"/>
      <c r="I156" s="115"/>
      <c r="J156" s="71"/>
      <c r="K156" s="71"/>
    </row>
    <row r="157" spans="1:11">
      <c r="B157" s="71"/>
      <c r="C157" s="71"/>
      <c r="D157" s="104"/>
      <c r="E157" s="71"/>
      <c r="F157" s="761"/>
      <c r="G157" s="761"/>
      <c r="H157" s="761"/>
      <c r="I157" s="761"/>
      <c r="J157" s="761"/>
      <c r="K157" s="761"/>
    </row>
    <row r="158" spans="1:11">
      <c r="B158" s="71"/>
      <c r="C158" s="71"/>
      <c r="D158" s="104"/>
      <c r="E158" s="71"/>
      <c r="F158" s="71"/>
      <c r="G158" s="71"/>
      <c r="H158" s="71"/>
      <c r="I158" s="762" t="str">
        <f>I1</f>
        <v>Actual Attachment H</v>
      </c>
      <c r="J158" s="762"/>
      <c r="K158" s="762"/>
    </row>
    <row r="159" spans="1:11">
      <c r="B159" s="71"/>
      <c r="C159" s="71"/>
      <c r="D159" s="104"/>
      <c r="E159" s="71"/>
      <c r="F159" s="71"/>
      <c r="G159" s="71"/>
      <c r="H159" s="71"/>
      <c r="I159" s="71"/>
      <c r="J159" s="761" t="s">
        <v>244</v>
      </c>
      <c r="K159" s="761"/>
    </row>
    <row r="160" spans="1:11">
      <c r="B160" s="71"/>
      <c r="C160" s="71"/>
      <c r="D160" s="104"/>
      <c r="E160" s="71"/>
      <c r="F160" s="71"/>
      <c r="G160" s="71"/>
      <c r="H160" s="71"/>
      <c r="I160" s="71"/>
      <c r="J160" s="105"/>
      <c r="K160" s="105"/>
    </row>
    <row r="161" spans="1:11">
      <c r="B161" s="104" t="s">
        <v>0</v>
      </c>
      <c r="C161" s="71"/>
      <c r="D161" s="78" t="s">
        <v>1</v>
      </c>
      <c r="E161" s="71"/>
      <c r="F161" s="71"/>
      <c r="G161" s="768" t="str">
        <f>K4</f>
        <v>Actuals - For the 12 months ended 12/31/2022</v>
      </c>
      <c r="H161" s="768"/>
      <c r="I161" s="768"/>
      <c r="J161" s="768"/>
      <c r="K161" s="768"/>
    </row>
    <row r="162" spans="1:11">
      <c r="B162" s="71"/>
      <c r="C162" s="107"/>
      <c r="D162" s="108" t="s">
        <v>3</v>
      </c>
      <c r="E162" s="107"/>
      <c r="F162" s="107"/>
      <c r="G162" s="107"/>
      <c r="H162" s="71"/>
      <c r="I162" s="71"/>
      <c r="J162" s="71"/>
      <c r="K162" s="71"/>
    </row>
    <row r="163" spans="1:11" ht="9" customHeight="1">
      <c r="A163" s="78"/>
      <c r="J163" s="107"/>
      <c r="K163" s="107"/>
    </row>
    <row r="164" spans="1:11">
      <c r="A164" s="78"/>
      <c r="D164" s="122" t="str">
        <f>C7</f>
        <v>Cheyenne Light, Fuel &amp; Power</v>
      </c>
      <c r="J164" s="107"/>
      <c r="K164" s="107"/>
    </row>
    <row r="165" spans="1:11">
      <c r="A165" s="78"/>
      <c r="D165" s="136"/>
      <c r="J165" s="107"/>
      <c r="K165" s="107"/>
    </row>
    <row r="166" spans="1:11">
      <c r="A166" s="78"/>
      <c r="D166" s="126" t="s">
        <v>139</v>
      </c>
      <c r="E166" s="71"/>
      <c r="F166" s="71"/>
      <c r="G166" s="71"/>
      <c r="H166" s="71"/>
      <c r="I166" s="71"/>
      <c r="J166" s="107"/>
      <c r="K166" s="107"/>
    </row>
    <row r="167" spans="1:11">
      <c r="A167" s="78" t="s">
        <v>4</v>
      </c>
      <c r="B167" s="78" t="s">
        <v>15</v>
      </c>
      <c r="C167" s="78" t="s">
        <v>16</v>
      </c>
      <c r="D167" s="78" t="s">
        <v>17</v>
      </c>
      <c r="E167" s="107" t="s">
        <v>2</v>
      </c>
      <c r="F167" s="107"/>
      <c r="G167" s="124" t="s">
        <v>18</v>
      </c>
      <c r="H167" s="107"/>
      <c r="I167" s="124" t="s">
        <v>19</v>
      </c>
      <c r="J167" s="107"/>
      <c r="K167" s="107"/>
    </row>
    <row r="168" spans="1:11" ht="13.5" thickBot="1">
      <c r="A168" s="111" t="s">
        <v>6</v>
      </c>
      <c r="B168" s="71" t="s">
        <v>131</v>
      </c>
      <c r="C168" s="71"/>
      <c r="D168" s="71"/>
      <c r="E168" s="71"/>
      <c r="F168" s="71"/>
      <c r="G168" s="71"/>
      <c r="J168" s="107"/>
      <c r="K168" s="107"/>
    </row>
    <row r="169" spans="1:11">
      <c r="A169" s="78">
        <v>1</v>
      </c>
      <c r="B169" s="71" t="s">
        <v>407</v>
      </c>
      <c r="C169" s="71" t="s">
        <v>406</v>
      </c>
      <c r="D169" s="107"/>
      <c r="E169" s="107"/>
      <c r="F169" s="107"/>
      <c r="G169" s="107"/>
      <c r="H169" s="107"/>
      <c r="I169" s="174">
        <f>D46</f>
        <v>86957649.413846165</v>
      </c>
      <c r="J169" s="107"/>
      <c r="K169" s="107"/>
    </row>
    <row r="170" spans="1:11">
      <c r="A170" s="78">
        <v>2</v>
      </c>
      <c r="B170" s="71" t="s">
        <v>408</v>
      </c>
      <c r="C170" s="103" t="s">
        <v>467</v>
      </c>
      <c r="I170" s="753">
        <v>0</v>
      </c>
      <c r="J170" s="107"/>
      <c r="K170" s="107"/>
    </row>
    <row r="171" spans="1:11" ht="13.5" thickBot="1">
      <c r="A171" s="78">
        <v>3</v>
      </c>
      <c r="B171" s="145" t="s">
        <v>409</v>
      </c>
      <c r="C171" s="145" t="s">
        <v>361</v>
      </c>
      <c r="D171" s="107"/>
      <c r="E171" s="107"/>
      <c r="F171" s="107"/>
      <c r="G171" s="108"/>
      <c r="H171" s="107"/>
      <c r="I171" s="146">
        <v>4353273.7761538448</v>
      </c>
      <c r="J171" s="107"/>
      <c r="K171" s="107"/>
    </row>
    <row r="172" spans="1:11">
      <c r="A172" s="78">
        <v>4</v>
      </c>
      <c r="B172" s="71" t="s">
        <v>410</v>
      </c>
      <c r="C172" s="71" t="s">
        <v>411</v>
      </c>
      <c r="D172" s="107"/>
      <c r="E172" s="107"/>
      <c r="F172" s="107"/>
      <c r="G172" s="108"/>
      <c r="H172" s="107"/>
      <c r="I172" s="115">
        <f>I169-I170-I171</f>
        <v>82604375.637692317</v>
      </c>
      <c r="J172" s="107"/>
      <c r="K172" s="107"/>
    </row>
    <row r="173" spans="1:11" ht="9" customHeight="1">
      <c r="A173" s="78"/>
      <c r="C173" s="71"/>
      <c r="D173" s="107"/>
      <c r="E173" s="107"/>
      <c r="F173" s="107"/>
      <c r="G173" s="108"/>
      <c r="H173" s="107"/>
      <c r="J173" s="107"/>
      <c r="K173" s="107"/>
    </row>
    <row r="174" spans="1:11">
      <c r="A174" s="78">
        <v>5</v>
      </c>
      <c r="B174" s="71" t="s">
        <v>412</v>
      </c>
      <c r="C174" s="110" t="s">
        <v>413</v>
      </c>
      <c r="D174" s="110"/>
      <c r="E174" s="110"/>
      <c r="F174" s="110"/>
      <c r="G174" s="124"/>
      <c r="H174" s="107" t="s">
        <v>53</v>
      </c>
      <c r="I174" s="147">
        <f>IF(I169&gt;0,I172/I169,0)</f>
        <v>0.94993800079121415</v>
      </c>
      <c r="J174" s="107"/>
      <c r="K174" s="107"/>
    </row>
    <row r="175" spans="1:11" ht="9" customHeight="1">
      <c r="A175" s="78"/>
      <c r="J175" s="107"/>
      <c r="K175" s="107"/>
    </row>
    <row r="176" spans="1:11">
      <c r="A176" s="78"/>
      <c r="B176" s="71" t="s">
        <v>51</v>
      </c>
      <c r="J176" s="107"/>
      <c r="K176" s="107"/>
    </row>
    <row r="177" spans="1:11">
      <c r="A177" s="78">
        <v>6</v>
      </c>
      <c r="B177" s="103" t="s">
        <v>414</v>
      </c>
      <c r="C177" s="103" t="s">
        <v>424</v>
      </c>
      <c r="D177" s="71"/>
      <c r="E177" s="71"/>
      <c r="F177" s="71"/>
      <c r="G177" s="78"/>
      <c r="H177" s="71"/>
      <c r="I177" s="174">
        <f>D105</f>
        <v>23350387</v>
      </c>
      <c r="J177" s="107"/>
      <c r="K177" s="107"/>
    </row>
    <row r="178" spans="1:11" ht="13.5" thickBot="1">
      <c r="A178" s="78">
        <v>7</v>
      </c>
      <c r="B178" s="145" t="s">
        <v>423</v>
      </c>
      <c r="C178" s="145" t="s">
        <v>422</v>
      </c>
      <c r="D178" s="107"/>
      <c r="E178" s="107"/>
      <c r="F178" s="107"/>
      <c r="G178" s="107"/>
      <c r="H178" s="107"/>
      <c r="I178" s="149">
        <f>D106</f>
        <v>387094</v>
      </c>
      <c r="J178" s="107"/>
      <c r="K178" s="107"/>
    </row>
    <row r="179" spans="1:11">
      <c r="A179" s="78">
        <v>8</v>
      </c>
      <c r="B179" s="71" t="s">
        <v>416</v>
      </c>
      <c r="C179" s="110" t="s">
        <v>415</v>
      </c>
      <c r="D179" s="110"/>
      <c r="E179" s="110"/>
      <c r="F179" s="110"/>
      <c r="G179" s="124"/>
      <c r="H179" s="110"/>
      <c r="I179" s="115">
        <f>+I177-I178</f>
        <v>22963293</v>
      </c>
    </row>
    <row r="180" spans="1:11">
      <c r="A180" s="78"/>
      <c r="B180" s="71"/>
      <c r="C180" s="71"/>
      <c r="D180" s="107"/>
      <c r="E180" s="107"/>
      <c r="F180" s="107"/>
      <c r="G180" s="107"/>
    </row>
    <row r="181" spans="1:11">
      <c r="A181" s="78">
        <v>9</v>
      </c>
      <c r="B181" s="71" t="s">
        <v>549</v>
      </c>
      <c r="C181" s="71" t="s">
        <v>425</v>
      </c>
      <c r="D181" s="107"/>
      <c r="E181" s="107"/>
      <c r="F181" s="107"/>
      <c r="G181" s="107"/>
      <c r="H181" s="107"/>
      <c r="I181" s="131">
        <f>IF(I177&gt;0,I179/I177,0)</f>
        <v>0.98342237325659743</v>
      </c>
    </row>
    <row r="182" spans="1:11">
      <c r="A182" s="78">
        <v>10</v>
      </c>
      <c r="B182" s="71" t="s">
        <v>550</v>
      </c>
      <c r="C182" s="71" t="s">
        <v>419</v>
      </c>
      <c r="D182" s="107"/>
      <c r="E182" s="107"/>
      <c r="F182" s="107"/>
      <c r="G182" s="107"/>
      <c r="H182" s="71" t="s">
        <v>11</v>
      </c>
      <c r="I182" s="131">
        <f>$I$174</f>
        <v>0.94993800079121415</v>
      </c>
    </row>
    <row r="183" spans="1:11">
      <c r="A183" s="78">
        <v>11</v>
      </c>
      <c r="B183" s="71" t="s">
        <v>551</v>
      </c>
      <c r="C183" s="71" t="s">
        <v>420</v>
      </c>
      <c r="D183" s="71"/>
      <c r="E183" s="71"/>
      <c r="F183" s="71"/>
      <c r="G183" s="71"/>
      <c r="H183" s="71" t="s">
        <v>52</v>
      </c>
      <c r="I183" s="114">
        <f>+I182*I181</f>
        <v>0.9341902831847233</v>
      </c>
    </row>
    <row r="184" spans="1:11">
      <c r="A184" s="78"/>
      <c r="C184" s="71"/>
      <c r="D184" s="107"/>
      <c r="E184" s="107"/>
      <c r="F184" s="107"/>
      <c r="G184" s="108"/>
      <c r="H184" s="107"/>
    </row>
    <row r="185" spans="1:11">
      <c r="A185" s="78" t="s">
        <v>2</v>
      </c>
      <c r="B185" s="71" t="s">
        <v>54</v>
      </c>
      <c r="C185" s="107"/>
      <c r="D185" s="107"/>
      <c r="E185" s="107"/>
      <c r="F185" s="107"/>
      <c r="G185" s="107"/>
      <c r="H185" s="107"/>
      <c r="I185" s="107"/>
      <c r="J185" s="107"/>
      <c r="K185" s="107"/>
    </row>
    <row r="186" spans="1:11" ht="13.5" thickBot="1">
      <c r="A186" s="78" t="s">
        <v>2</v>
      </c>
      <c r="B186" s="71"/>
      <c r="C186" s="157" t="s">
        <v>55</v>
      </c>
      <c r="D186" s="158" t="s">
        <v>56</v>
      </c>
      <c r="E186" s="158" t="s">
        <v>11</v>
      </c>
      <c r="F186" s="107"/>
      <c r="G186" s="158" t="s">
        <v>57</v>
      </c>
      <c r="H186" s="107"/>
      <c r="I186" s="107"/>
      <c r="J186" s="107"/>
      <c r="K186" s="107"/>
    </row>
    <row r="187" spans="1:11">
      <c r="A187" s="78">
        <v>12</v>
      </c>
      <c r="B187" s="71" t="s">
        <v>26</v>
      </c>
      <c r="C187" s="107" t="s">
        <v>116</v>
      </c>
      <c r="D187" s="116">
        <v>3223348.0850000004</v>
      </c>
      <c r="E187" s="159">
        <v>0</v>
      </c>
      <c r="F187" s="159"/>
      <c r="G187" s="115">
        <f>D187*E187</f>
        <v>0</v>
      </c>
      <c r="H187" s="107"/>
      <c r="I187" s="107"/>
      <c r="J187" s="107"/>
      <c r="K187" s="107"/>
    </row>
    <row r="188" spans="1:11">
      <c r="A188" s="78">
        <v>13</v>
      </c>
      <c r="B188" s="71" t="s">
        <v>28</v>
      </c>
      <c r="C188" s="107" t="s">
        <v>117</v>
      </c>
      <c r="D188" s="116">
        <v>445557.56</v>
      </c>
      <c r="E188" s="546">
        <f>$I$174</f>
        <v>0.94993800079121415</v>
      </c>
      <c r="F188" s="159"/>
      <c r="G188" s="115">
        <f>D188*E188</f>
        <v>423252.05778381147</v>
      </c>
      <c r="H188" s="107"/>
      <c r="I188" s="107"/>
      <c r="J188" s="107"/>
      <c r="K188" s="107"/>
    </row>
    <row r="189" spans="1:11">
      <c r="A189" s="78">
        <v>14</v>
      </c>
      <c r="B189" s="71" t="s">
        <v>29</v>
      </c>
      <c r="C189" s="107" t="s">
        <v>118</v>
      </c>
      <c r="D189" s="116">
        <v>1820077.38</v>
      </c>
      <c r="E189" s="159">
        <v>0</v>
      </c>
      <c r="F189" s="159"/>
      <c r="G189" s="115">
        <f>D189*E189</f>
        <v>0</v>
      </c>
      <c r="H189" s="107"/>
      <c r="I189" s="108" t="s">
        <v>58</v>
      </c>
      <c r="J189" s="107"/>
      <c r="K189" s="107"/>
    </row>
    <row r="190" spans="1:11" ht="13.5" thickBot="1">
      <c r="A190" s="78">
        <v>15</v>
      </c>
      <c r="B190" s="71" t="s">
        <v>59</v>
      </c>
      <c r="C190" s="107" t="s">
        <v>121</v>
      </c>
      <c r="D190" s="146">
        <f>406871.25+68444.3+0</f>
        <v>475315.55</v>
      </c>
      <c r="E190" s="159">
        <v>0</v>
      </c>
      <c r="F190" s="159"/>
      <c r="G190" s="161">
        <f>D190*E190</f>
        <v>0</v>
      </c>
      <c r="H190" s="107"/>
      <c r="I190" s="111" t="s">
        <v>60</v>
      </c>
      <c r="J190" s="107"/>
      <c r="K190" s="107"/>
    </row>
    <row r="191" spans="1:11">
      <c r="A191" s="78">
        <v>16</v>
      </c>
      <c r="B191" s="71" t="s">
        <v>427</v>
      </c>
      <c r="C191" s="107" t="s">
        <v>1232</v>
      </c>
      <c r="D191" s="115">
        <f>SUM(D187:D190)</f>
        <v>5964298.5750000002</v>
      </c>
      <c r="E191" s="107"/>
      <c r="F191" s="107"/>
      <c r="G191" s="115">
        <f>SUM(G187:G190)</f>
        <v>423252.05778381147</v>
      </c>
      <c r="H191" s="78" t="s">
        <v>61</v>
      </c>
      <c r="I191" s="131">
        <f>IF(G191&gt;0,G191/D191,0)</f>
        <v>7.0964263854582682E-2</v>
      </c>
      <c r="J191" s="108" t="s">
        <v>61</v>
      </c>
      <c r="K191" s="143" t="s">
        <v>100</v>
      </c>
    </row>
    <row r="192" spans="1:11" ht="9" customHeight="1">
      <c r="A192" s="78"/>
      <c r="B192" s="71"/>
      <c r="C192" s="107"/>
      <c r="D192" s="107"/>
      <c r="E192" s="107"/>
      <c r="F192" s="107"/>
      <c r="G192" s="107"/>
      <c r="H192" s="107"/>
      <c r="I192" s="107"/>
      <c r="J192" s="107"/>
      <c r="K192" s="107"/>
    </row>
    <row r="193" spans="1:11">
      <c r="A193" s="78"/>
      <c r="B193" s="71" t="s">
        <v>153</v>
      </c>
      <c r="C193" s="107"/>
      <c r="D193" s="125" t="s">
        <v>56</v>
      </c>
      <c r="E193" s="107"/>
      <c r="F193" s="107"/>
      <c r="G193" s="108" t="s">
        <v>62</v>
      </c>
      <c r="H193" s="139" t="s">
        <v>2</v>
      </c>
      <c r="I193" s="132" t="str">
        <f>+I189</f>
        <v>W&amp;S Allocator</v>
      </c>
      <c r="J193" s="107"/>
      <c r="K193" s="107"/>
    </row>
    <row r="194" spans="1:11">
      <c r="A194" s="78">
        <v>17</v>
      </c>
      <c r="B194" s="71" t="s">
        <v>63</v>
      </c>
      <c r="C194" s="107" t="s">
        <v>64</v>
      </c>
      <c r="D194" s="116">
        <v>703226217.15999985</v>
      </c>
      <c r="E194" s="107"/>
      <c r="G194" s="78" t="s">
        <v>65</v>
      </c>
      <c r="H194" s="139"/>
      <c r="I194" s="78" t="s">
        <v>66</v>
      </c>
      <c r="J194" s="107"/>
      <c r="K194" s="78" t="s">
        <v>67</v>
      </c>
    </row>
    <row r="195" spans="1:11">
      <c r="A195" s="78">
        <v>18</v>
      </c>
      <c r="B195" s="71" t="s">
        <v>68</v>
      </c>
      <c r="C195" s="107" t="s">
        <v>107</v>
      </c>
      <c r="D195" s="753">
        <v>0</v>
      </c>
      <c r="E195" s="107"/>
      <c r="G195" s="114">
        <f>IF(D197&gt;0,D194/D197,0)</f>
        <v>0.9824178405076075</v>
      </c>
      <c r="H195" s="108" t="s">
        <v>69</v>
      </c>
      <c r="I195" s="114">
        <f>I191</f>
        <v>7.0964263854582682E-2</v>
      </c>
      <c r="J195" s="139" t="s">
        <v>61</v>
      </c>
      <c r="K195" s="162">
        <f>I195*G195</f>
        <v>6.9716558849231183E-2</v>
      </c>
    </row>
    <row r="196" spans="1:11" ht="13.5" thickBot="1">
      <c r="A196" s="78">
        <v>19</v>
      </c>
      <c r="B196" s="145" t="s">
        <v>59</v>
      </c>
      <c r="C196" s="157" t="s">
        <v>743</v>
      </c>
      <c r="D196" s="146">
        <v>12585516.059999999</v>
      </c>
      <c r="E196" s="107"/>
      <c r="F196" s="107"/>
      <c r="G196" s="107" t="s">
        <v>2</v>
      </c>
      <c r="H196" s="107"/>
      <c r="I196" s="107"/>
      <c r="J196" s="107"/>
      <c r="K196" s="107"/>
    </row>
    <row r="197" spans="1:11">
      <c r="A197" s="78">
        <v>20</v>
      </c>
      <c r="B197" s="71" t="s">
        <v>427</v>
      </c>
      <c r="C197" s="107" t="s">
        <v>428</v>
      </c>
      <c r="D197" s="115">
        <f>D194+D195+D196</f>
        <v>715811733.21999979</v>
      </c>
      <c r="E197" s="107"/>
      <c r="F197" s="107"/>
      <c r="G197" s="107"/>
      <c r="H197" s="107"/>
      <c r="I197" s="107"/>
      <c r="J197" s="107"/>
      <c r="K197" s="107"/>
    </row>
    <row r="198" spans="1:11" ht="9" customHeight="1">
      <c r="A198" s="78"/>
      <c r="B198" s="71"/>
      <c r="C198" s="107"/>
      <c r="E198" s="107"/>
      <c r="F198" s="107"/>
      <c r="G198" s="107"/>
      <c r="H198" s="107"/>
      <c r="I198" s="107"/>
      <c r="J198" s="107"/>
      <c r="K198" s="107"/>
    </row>
    <row r="199" spans="1:11" ht="13.5" thickBot="1">
      <c r="A199" s="78"/>
      <c r="B199" s="71" t="s">
        <v>70</v>
      </c>
      <c r="C199" s="107"/>
      <c r="D199" s="107"/>
      <c r="E199" s="107"/>
      <c r="F199" s="107"/>
      <c r="G199" s="107"/>
      <c r="H199" s="107"/>
      <c r="I199" s="158" t="s">
        <v>56</v>
      </c>
      <c r="J199" s="107"/>
      <c r="K199" s="107"/>
    </row>
    <row r="200" spans="1:11">
      <c r="A200" s="78">
        <v>21</v>
      </c>
      <c r="B200" s="107" t="s">
        <v>431</v>
      </c>
      <c r="C200" s="107" t="s">
        <v>744</v>
      </c>
      <c r="D200" s="107"/>
      <c r="E200" s="107"/>
      <c r="F200" s="107"/>
      <c r="G200" s="107"/>
      <c r="H200" s="107"/>
      <c r="I200" s="163">
        <f>11118640+73327+11725-78740-0+4972420</f>
        <v>16097372</v>
      </c>
      <c r="J200" s="107"/>
      <c r="K200" s="107"/>
    </row>
    <row r="201" spans="1:11" ht="9" customHeight="1">
      <c r="A201" s="78"/>
      <c r="B201" s="107"/>
      <c r="C201" s="107"/>
      <c r="D201" s="107"/>
      <c r="E201" s="107"/>
      <c r="F201" s="107"/>
      <c r="G201" s="107"/>
      <c r="H201" s="107"/>
      <c r="I201" s="107"/>
      <c r="J201" s="107"/>
      <c r="K201" s="107"/>
    </row>
    <row r="202" spans="1:11">
      <c r="A202" s="78">
        <v>22</v>
      </c>
      <c r="B202" s="107" t="s">
        <v>430</v>
      </c>
      <c r="C202" s="107" t="s">
        <v>429</v>
      </c>
      <c r="D202" s="107"/>
      <c r="E202" s="107"/>
      <c r="F202" s="107"/>
      <c r="G202" s="107"/>
      <c r="H202" s="107"/>
      <c r="I202" s="164">
        <v>0</v>
      </c>
      <c r="J202" s="107"/>
      <c r="K202" s="107"/>
    </row>
    <row r="203" spans="1:11" ht="9" customHeight="1">
      <c r="A203" s="78"/>
      <c r="B203" s="71"/>
      <c r="C203" s="107"/>
      <c r="D203" s="107"/>
      <c r="E203" s="107"/>
      <c r="F203" s="107"/>
      <c r="G203" s="107"/>
      <c r="H203" s="107"/>
      <c r="I203" s="107"/>
      <c r="J203" s="107"/>
      <c r="K203" s="107"/>
    </row>
    <row r="204" spans="1:11">
      <c r="A204" s="78"/>
      <c r="B204" s="165" t="s">
        <v>432</v>
      </c>
      <c r="C204" s="107"/>
      <c r="D204" s="107"/>
      <c r="E204" s="107"/>
      <c r="F204" s="107"/>
      <c r="G204" s="107"/>
      <c r="H204" s="107"/>
      <c r="I204" s="107"/>
      <c r="J204" s="107"/>
      <c r="K204" s="107"/>
    </row>
    <row r="205" spans="1:11">
      <c r="A205" s="78">
        <v>23</v>
      </c>
      <c r="B205" s="107" t="s">
        <v>435</v>
      </c>
      <c r="C205" s="107" t="s">
        <v>433</v>
      </c>
      <c r="D205" s="71"/>
      <c r="E205" s="107"/>
      <c r="F205" s="107"/>
      <c r="G205" s="107"/>
      <c r="H205" s="107"/>
      <c r="I205" s="116">
        <v>247950929</v>
      </c>
      <c r="J205" s="107"/>
      <c r="K205" s="107"/>
    </row>
    <row r="206" spans="1:11">
      <c r="A206" s="78">
        <v>24</v>
      </c>
      <c r="B206" s="107" t="s">
        <v>436</v>
      </c>
      <c r="C206" s="107" t="s">
        <v>434</v>
      </c>
      <c r="D206" s="107"/>
      <c r="E206" s="107"/>
      <c r="F206" s="107"/>
      <c r="G206" s="107"/>
      <c r="H206" s="107"/>
      <c r="I206" s="115">
        <f>+D213</f>
        <v>0</v>
      </c>
      <c r="J206" s="107"/>
      <c r="K206" s="107"/>
    </row>
    <row r="207" spans="1:11">
      <c r="A207" s="78">
        <v>25</v>
      </c>
      <c r="B207" s="71" t="s">
        <v>437</v>
      </c>
      <c r="C207" s="71" t="s">
        <v>951</v>
      </c>
      <c r="D207" s="107"/>
      <c r="E207" s="107"/>
      <c r="F207" s="107"/>
      <c r="G207" s="107"/>
      <c r="H207" s="107"/>
      <c r="I207" s="116">
        <v>0</v>
      </c>
      <c r="J207" s="107"/>
      <c r="K207" s="107"/>
    </row>
    <row r="208" spans="1:11" ht="13.5" thickBot="1">
      <c r="A208" s="78">
        <v>26</v>
      </c>
      <c r="B208" s="145" t="s">
        <v>952</v>
      </c>
      <c r="C208" s="145" t="s">
        <v>953</v>
      </c>
      <c r="D208" s="107"/>
      <c r="E208" s="107"/>
      <c r="F208" s="107"/>
      <c r="G208" s="107"/>
      <c r="H208" s="107"/>
      <c r="I208" s="116">
        <v>0</v>
      </c>
      <c r="J208" s="107"/>
      <c r="K208" s="107"/>
    </row>
    <row r="209" spans="1:11">
      <c r="A209" s="78">
        <v>27</v>
      </c>
      <c r="B209" s="71" t="s">
        <v>71</v>
      </c>
      <c r="C209" s="110" t="s">
        <v>954</v>
      </c>
      <c r="D209" s="115"/>
      <c r="E209" s="71"/>
      <c r="F209" s="71"/>
      <c r="G209" s="71"/>
      <c r="H209" s="71"/>
      <c r="I209" s="180">
        <f>I205-I206-I207-I208</f>
        <v>247950929</v>
      </c>
      <c r="J209" s="107"/>
      <c r="K209" s="107"/>
    </row>
    <row r="210" spans="1:11">
      <c r="A210" s="78"/>
      <c r="B210" s="71"/>
      <c r="C210" s="107"/>
      <c r="D210" s="107"/>
      <c r="E210" s="107"/>
      <c r="F210" s="107"/>
      <c r="G210" s="108" t="s">
        <v>72</v>
      </c>
      <c r="H210" s="107"/>
      <c r="I210" s="107"/>
      <c r="J210" s="107"/>
      <c r="K210" s="107"/>
    </row>
    <row r="211" spans="1:11" ht="13.5" thickBot="1">
      <c r="A211" s="78"/>
      <c r="B211" s="71"/>
      <c r="C211" s="107"/>
      <c r="D211" s="111" t="s">
        <v>56</v>
      </c>
      <c r="E211" s="111" t="s">
        <v>73</v>
      </c>
      <c r="F211" s="107"/>
      <c r="G211" s="111" t="s">
        <v>472</v>
      </c>
      <c r="H211" s="107"/>
      <c r="I211" s="111" t="s">
        <v>74</v>
      </c>
      <c r="J211" s="107"/>
      <c r="K211" s="107"/>
    </row>
    <row r="212" spans="1:11">
      <c r="A212" s="78">
        <v>28</v>
      </c>
      <c r="B212" s="71" t="s">
        <v>440</v>
      </c>
      <c r="C212" s="71" t="s">
        <v>438</v>
      </c>
      <c r="D212" s="116">
        <v>195000000</v>
      </c>
      <c r="E212" s="166">
        <f>IF($D$215&gt;0,D212/$D$215,0)</f>
        <v>0.44022935100334781</v>
      </c>
      <c r="F212" s="167"/>
      <c r="G212" s="168">
        <f>IF(D212&gt;0,I200/D212,0)</f>
        <v>8.2550625641025638E-2</v>
      </c>
      <c r="I212" s="168">
        <f>G212*E212</f>
        <v>3.6341208350869042E-2</v>
      </c>
      <c r="J212" s="169" t="s">
        <v>75</v>
      </c>
    </row>
    <row r="213" spans="1:11">
      <c r="A213" s="78">
        <v>29</v>
      </c>
      <c r="B213" s="71" t="s">
        <v>441</v>
      </c>
      <c r="C213" s="71" t="s">
        <v>439</v>
      </c>
      <c r="D213" s="116">
        <v>0</v>
      </c>
      <c r="E213" s="166">
        <f>IF($D$215&gt;0,D213/$D$215,0)</f>
        <v>0</v>
      </c>
      <c r="F213" s="167"/>
      <c r="G213" s="168">
        <f>IF(D213&gt;0,I202/D213,0)</f>
        <v>0</v>
      </c>
      <c r="I213" s="168">
        <f>G213*E213</f>
        <v>0</v>
      </c>
      <c r="J213" s="107"/>
    </row>
    <row r="214" spans="1:11" ht="13.5" thickBot="1">
      <c r="A214" s="78">
        <v>30</v>
      </c>
      <c r="B214" s="145" t="s">
        <v>442</v>
      </c>
      <c r="C214" s="145" t="s">
        <v>955</v>
      </c>
      <c r="D214" s="161">
        <f>I209</f>
        <v>247950929</v>
      </c>
      <c r="E214" s="166">
        <f>IF($D$215&gt;0,D214/$D$215,0)</f>
        <v>0.55977064899665219</v>
      </c>
      <c r="F214" s="167"/>
      <c r="G214" s="718">
        <v>9.9000000000000005E-2</v>
      </c>
      <c r="I214" s="170">
        <f>G214*E214</f>
        <v>5.5417294250668568E-2</v>
      </c>
      <c r="J214" s="107"/>
    </row>
    <row r="215" spans="1:11">
      <c r="A215" s="78">
        <v>31</v>
      </c>
      <c r="B215" s="71" t="s">
        <v>388</v>
      </c>
      <c r="C215" s="110" t="s">
        <v>956</v>
      </c>
      <c r="D215" s="115">
        <f>D214+D213+D212</f>
        <v>442950929</v>
      </c>
      <c r="E215" s="107" t="s">
        <v>2</v>
      </c>
      <c r="F215" s="107"/>
      <c r="G215" s="107"/>
      <c r="H215" s="107"/>
      <c r="I215" s="168">
        <f>SUM(I212:I214)</f>
        <v>9.1758502601537617E-2</v>
      </c>
      <c r="J215" s="169" t="s">
        <v>76</v>
      </c>
    </row>
    <row r="216" spans="1:11" ht="9" customHeight="1">
      <c r="E216" s="107"/>
      <c r="F216" s="107"/>
      <c r="G216" s="107"/>
      <c r="H216" s="107"/>
    </row>
    <row r="217" spans="1:11">
      <c r="A217" s="769"/>
      <c r="B217" s="769"/>
      <c r="C217" s="769"/>
      <c r="D217" s="107"/>
      <c r="E217" s="107"/>
      <c r="F217" s="133"/>
      <c r="G217" s="770"/>
      <c r="H217" s="770"/>
      <c r="I217" s="770"/>
      <c r="J217" s="770"/>
      <c r="K217" s="770"/>
    </row>
    <row r="218" spans="1:11">
      <c r="A218" s="78">
        <v>32</v>
      </c>
      <c r="B218" s="71" t="s">
        <v>702</v>
      </c>
      <c r="C218" s="71" t="s">
        <v>706</v>
      </c>
      <c r="D218" s="104"/>
      <c r="E218" s="71"/>
      <c r="F218" s="71"/>
      <c r="G218" s="71"/>
      <c r="H218" s="347"/>
      <c r="I218" s="164">
        <f>SUM('A7-IncentPlant'!F19:F42)</f>
        <v>0</v>
      </c>
      <c r="J218" s="347"/>
      <c r="K218" s="347"/>
    </row>
    <row r="219" spans="1:11">
      <c r="B219" s="71"/>
      <c r="C219" s="71"/>
      <c r="D219" s="104"/>
      <c r="E219" s="71"/>
      <c r="F219" s="71"/>
      <c r="G219" s="761"/>
      <c r="H219" s="761"/>
      <c r="I219" s="761"/>
      <c r="J219" s="761"/>
      <c r="K219" s="761"/>
    </row>
    <row r="220" spans="1:11">
      <c r="B220" s="71"/>
      <c r="C220" s="71"/>
      <c r="D220" s="104"/>
      <c r="E220" s="71"/>
      <c r="F220" s="71"/>
      <c r="G220" s="71"/>
      <c r="H220" s="71"/>
      <c r="I220" s="762" t="str">
        <f>I1</f>
        <v>Actual Attachment H</v>
      </c>
      <c r="J220" s="762"/>
      <c r="K220" s="762"/>
    </row>
    <row r="221" spans="1:11">
      <c r="B221" s="71"/>
      <c r="C221" s="71"/>
      <c r="D221" s="104"/>
      <c r="E221" s="71"/>
      <c r="F221" s="71"/>
      <c r="G221" s="71"/>
      <c r="H221" s="71"/>
      <c r="I221" s="71"/>
      <c r="J221" s="761" t="s">
        <v>359</v>
      </c>
      <c r="K221" s="761"/>
    </row>
    <row r="222" spans="1:11">
      <c r="B222" s="71"/>
      <c r="C222" s="71"/>
      <c r="D222" s="104"/>
      <c r="E222" s="71"/>
      <c r="F222" s="71"/>
      <c r="G222" s="71"/>
      <c r="H222" s="71"/>
      <c r="I222" s="71"/>
      <c r="J222" s="71"/>
      <c r="K222" s="105"/>
    </row>
    <row r="223" spans="1:11">
      <c r="B223" s="104" t="s">
        <v>0</v>
      </c>
      <c r="C223" s="71"/>
      <c r="D223" s="78" t="s">
        <v>1</v>
      </c>
      <c r="E223" s="71"/>
      <c r="F223" s="71"/>
      <c r="G223" s="71"/>
      <c r="H223" s="71"/>
      <c r="I223" s="71"/>
      <c r="J223" s="71"/>
      <c r="K223" s="121" t="str">
        <f>K4</f>
        <v>Actuals - For the 12 months ended 12/31/2022</v>
      </c>
    </row>
    <row r="224" spans="1:11">
      <c r="B224" s="71"/>
      <c r="C224" s="107"/>
      <c r="D224" s="108" t="s">
        <v>3</v>
      </c>
      <c r="E224" s="107"/>
      <c r="F224" s="107"/>
      <c r="G224" s="107"/>
      <c r="H224" s="71"/>
      <c r="I224" s="71"/>
      <c r="J224" s="71"/>
      <c r="K224" s="71"/>
    </row>
    <row r="225" spans="1:11">
      <c r="A225" s="78"/>
      <c r="C225" s="78"/>
      <c r="D225" s="107"/>
      <c r="E225" s="107"/>
      <c r="F225" s="107"/>
      <c r="G225" s="107"/>
      <c r="H225" s="71"/>
      <c r="I225" s="152"/>
      <c r="K225" s="107"/>
    </row>
    <row r="226" spans="1:11">
      <c r="A226" s="78"/>
      <c r="C226" s="78"/>
      <c r="D226" s="171" t="str">
        <f>C7</f>
        <v>Cheyenne Light, Fuel &amp; Power</v>
      </c>
      <c r="E226" s="107"/>
      <c r="F226" s="107"/>
      <c r="G226" s="107"/>
      <c r="H226" s="71"/>
      <c r="I226" s="152"/>
      <c r="K226" s="107"/>
    </row>
    <row r="227" spans="1:11">
      <c r="A227" s="78"/>
      <c r="C227" s="78"/>
      <c r="D227" s="107"/>
      <c r="E227" s="107"/>
      <c r="F227" s="107"/>
      <c r="G227" s="107"/>
      <c r="H227" s="71"/>
      <c r="I227" s="152"/>
      <c r="K227" s="107"/>
    </row>
    <row r="228" spans="1:11">
      <c r="A228" s="78"/>
      <c r="B228" s="71" t="s">
        <v>120</v>
      </c>
      <c r="C228" s="78"/>
      <c r="D228" s="107"/>
      <c r="E228" s="107"/>
      <c r="F228" s="107"/>
      <c r="G228" s="107"/>
      <c r="H228" s="71"/>
      <c r="I228" s="107"/>
      <c r="J228" s="71"/>
      <c r="K228" s="107"/>
    </row>
    <row r="229" spans="1:11">
      <c r="A229" s="78"/>
      <c r="B229" s="172" t="s">
        <v>119</v>
      </c>
      <c r="C229" s="78"/>
      <c r="D229" s="107"/>
      <c r="E229" s="107"/>
      <c r="F229" s="107"/>
      <c r="G229" s="107"/>
      <c r="H229" s="71"/>
      <c r="I229" s="107"/>
      <c r="J229" s="71"/>
      <c r="K229" s="107"/>
    </row>
    <row r="230" spans="1:11">
      <c r="A230" s="78" t="s">
        <v>77</v>
      </c>
      <c r="B230" s="71"/>
      <c r="C230" s="71"/>
      <c r="D230" s="107"/>
      <c r="E230" s="107"/>
      <c r="F230" s="107"/>
      <c r="G230" s="107"/>
      <c r="H230" s="71"/>
      <c r="I230" s="107"/>
      <c r="J230" s="71"/>
      <c r="K230" s="107"/>
    </row>
    <row r="231" spans="1:11" ht="13.5" thickBot="1">
      <c r="A231" s="111" t="s">
        <v>78</v>
      </c>
      <c r="B231" s="71"/>
      <c r="C231" s="71"/>
      <c r="D231" s="107"/>
      <c r="E231" s="107"/>
      <c r="F231" s="107"/>
      <c r="G231" s="107"/>
      <c r="H231" s="71"/>
      <c r="I231" s="107"/>
      <c r="J231" s="71"/>
      <c r="K231" s="107"/>
    </row>
    <row r="232" spans="1:11">
      <c r="A232" s="79" t="s">
        <v>79</v>
      </c>
      <c r="B232" s="82" t="s">
        <v>128</v>
      </c>
      <c r="C232" s="83"/>
      <c r="D232" s="84"/>
      <c r="E232" s="84"/>
      <c r="F232" s="84"/>
      <c r="G232" s="84"/>
      <c r="H232" s="83"/>
      <c r="I232" s="84"/>
      <c r="J232" s="83"/>
      <c r="K232" s="84"/>
    </row>
    <row r="233" spans="1:11" ht="30.75" customHeight="1">
      <c r="A233" s="79" t="s">
        <v>80</v>
      </c>
      <c r="B233" s="766" t="s">
        <v>1023</v>
      </c>
      <c r="C233" s="766"/>
      <c r="D233" s="766"/>
      <c r="E233" s="766"/>
      <c r="F233" s="766"/>
      <c r="G233" s="766"/>
      <c r="H233" s="766"/>
      <c r="I233" s="766"/>
      <c r="J233" s="766"/>
      <c r="K233" s="766"/>
    </row>
    <row r="234" spans="1:11" ht="26.25" customHeight="1">
      <c r="A234" s="79" t="s">
        <v>81</v>
      </c>
      <c r="B234" s="763" t="s">
        <v>1203</v>
      </c>
      <c r="C234" s="763"/>
      <c r="D234" s="763"/>
      <c r="E234" s="763"/>
      <c r="F234" s="763"/>
      <c r="G234" s="763"/>
      <c r="H234" s="763"/>
      <c r="I234" s="763"/>
      <c r="J234" s="763"/>
      <c r="K234" s="763"/>
    </row>
    <row r="235" spans="1:11" ht="27" customHeight="1">
      <c r="A235" s="79" t="s">
        <v>82</v>
      </c>
      <c r="B235" s="765" t="s">
        <v>1125</v>
      </c>
      <c r="C235" s="765"/>
      <c r="D235" s="765"/>
      <c r="E235" s="765"/>
      <c r="F235" s="765"/>
      <c r="G235" s="765"/>
      <c r="H235" s="765"/>
      <c r="I235" s="765"/>
      <c r="J235" s="83"/>
      <c r="K235" s="83"/>
    </row>
    <row r="236" spans="1:11">
      <c r="A236" s="79" t="s">
        <v>83</v>
      </c>
      <c r="B236" s="763" t="s">
        <v>920</v>
      </c>
      <c r="C236" s="763"/>
      <c r="D236" s="763"/>
      <c r="E236" s="763"/>
      <c r="F236" s="763"/>
      <c r="G236" s="763"/>
      <c r="H236" s="763"/>
      <c r="I236" s="763"/>
      <c r="J236" s="763"/>
      <c r="K236" s="763"/>
    </row>
    <row r="237" spans="1:11" ht="28.5" customHeight="1">
      <c r="A237" s="79" t="s">
        <v>84</v>
      </c>
      <c r="B237" s="764" t="s">
        <v>921</v>
      </c>
      <c r="C237" s="764"/>
      <c r="D237" s="764"/>
      <c r="E237" s="764"/>
      <c r="F237" s="764"/>
      <c r="G237" s="764"/>
      <c r="H237" s="764"/>
      <c r="I237" s="764"/>
      <c r="J237" s="86"/>
      <c r="K237" s="86"/>
    </row>
    <row r="238" spans="1:11">
      <c r="A238" s="79" t="s">
        <v>85</v>
      </c>
      <c r="B238" s="80" t="s">
        <v>922</v>
      </c>
      <c r="C238" s="71"/>
      <c r="D238" s="71"/>
      <c r="E238" s="71"/>
      <c r="F238" s="71"/>
      <c r="G238" s="71"/>
      <c r="H238" s="71"/>
      <c r="I238" s="71"/>
      <c r="J238" s="83"/>
      <c r="K238" s="83"/>
    </row>
    <row r="239" spans="1:11" ht="29.25" customHeight="1">
      <c r="A239" s="79" t="s">
        <v>449</v>
      </c>
      <c r="B239" s="765" t="s">
        <v>923</v>
      </c>
      <c r="C239" s="765"/>
      <c r="D239" s="765"/>
      <c r="E239" s="765"/>
      <c r="F239" s="765"/>
      <c r="G239" s="765"/>
      <c r="H239" s="765"/>
      <c r="I239" s="765"/>
      <c r="J239" s="87"/>
      <c r="K239" s="83"/>
    </row>
    <row r="240" spans="1:11" ht="32.25" customHeight="1">
      <c r="A240" s="79" t="s">
        <v>86</v>
      </c>
      <c r="B240" s="765" t="s">
        <v>924</v>
      </c>
      <c r="C240" s="765"/>
      <c r="D240" s="765"/>
      <c r="E240" s="765"/>
      <c r="F240" s="765"/>
      <c r="G240" s="765"/>
      <c r="H240" s="765"/>
      <c r="I240" s="765"/>
      <c r="J240" s="83"/>
      <c r="K240" s="83"/>
    </row>
    <row r="241" spans="1:11" ht="27.75" customHeight="1">
      <c r="A241" s="79" t="s">
        <v>87</v>
      </c>
      <c r="B241" s="765" t="s">
        <v>1104</v>
      </c>
      <c r="C241" s="765"/>
      <c r="D241" s="765"/>
      <c r="E241" s="765"/>
      <c r="F241" s="765"/>
      <c r="G241" s="765"/>
      <c r="H241" s="765"/>
      <c r="I241" s="765"/>
      <c r="J241" s="83"/>
      <c r="K241" s="83"/>
    </row>
    <row r="242" spans="1:11" ht="54" customHeight="1">
      <c r="A242" s="79" t="s">
        <v>88</v>
      </c>
      <c r="B242" s="763" t="s">
        <v>925</v>
      </c>
      <c r="C242" s="763"/>
      <c r="D242" s="763"/>
      <c r="E242" s="763"/>
      <c r="F242" s="763"/>
      <c r="G242" s="763"/>
      <c r="H242" s="763"/>
      <c r="I242" s="763"/>
      <c r="J242" s="763"/>
      <c r="K242" s="763"/>
    </row>
    <row r="243" spans="1:11">
      <c r="A243" s="85" t="s">
        <v>2</v>
      </c>
      <c r="B243" s="71" t="s">
        <v>450</v>
      </c>
      <c r="C243" s="71" t="s">
        <v>93</v>
      </c>
      <c r="D243" s="173">
        <v>0.21</v>
      </c>
      <c r="E243" s="71" t="s">
        <v>451</v>
      </c>
      <c r="F243" s="71"/>
      <c r="G243" s="71"/>
      <c r="H243" s="71"/>
      <c r="I243" s="71"/>
      <c r="J243" s="71"/>
      <c r="K243" s="71"/>
    </row>
    <row r="244" spans="1:11">
      <c r="A244" s="85"/>
      <c r="B244" s="71"/>
      <c r="C244" s="71" t="s">
        <v>94</v>
      </c>
      <c r="D244" s="173">
        <v>0</v>
      </c>
      <c r="E244" s="71" t="s">
        <v>95</v>
      </c>
      <c r="F244" s="71"/>
      <c r="G244" s="71"/>
      <c r="H244" s="71"/>
      <c r="I244" s="71"/>
      <c r="J244" s="71"/>
      <c r="K244" s="71"/>
    </row>
    <row r="245" spans="1:11">
      <c r="A245" s="85"/>
      <c r="B245" s="71"/>
      <c r="C245" s="71" t="s">
        <v>96</v>
      </c>
      <c r="D245" s="173">
        <v>0</v>
      </c>
      <c r="E245" s="71" t="s">
        <v>97</v>
      </c>
      <c r="F245" s="71"/>
      <c r="G245" s="71"/>
      <c r="H245" s="71"/>
      <c r="I245" s="71"/>
      <c r="J245" s="71"/>
      <c r="K245" s="71"/>
    </row>
    <row r="246" spans="1:11" ht="24.75" customHeight="1">
      <c r="A246" s="79" t="s">
        <v>452</v>
      </c>
      <c r="B246" s="777" t="s">
        <v>124</v>
      </c>
      <c r="C246" s="777"/>
      <c r="D246" s="777"/>
      <c r="E246" s="777"/>
      <c r="F246" s="777"/>
      <c r="G246" s="777"/>
      <c r="H246" s="777"/>
      <c r="I246" s="777"/>
      <c r="J246" s="83"/>
      <c r="K246" s="83"/>
    </row>
    <row r="247" spans="1:11" ht="27" customHeight="1">
      <c r="A247" s="79" t="s">
        <v>360</v>
      </c>
      <c r="B247" s="765" t="s">
        <v>453</v>
      </c>
      <c r="C247" s="765"/>
      <c r="D247" s="765"/>
      <c r="E247" s="765"/>
      <c r="F247" s="765"/>
      <c r="G247" s="765"/>
      <c r="H247" s="765"/>
      <c r="I247" s="765"/>
      <c r="J247" s="88"/>
      <c r="K247" s="83"/>
    </row>
    <row r="248" spans="1:11" ht="25.5" customHeight="1">
      <c r="A248" s="79" t="s">
        <v>454</v>
      </c>
      <c r="B248" s="775" t="s">
        <v>1074</v>
      </c>
      <c r="C248" s="775"/>
      <c r="D248" s="775"/>
      <c r="E248" s="775"/>
      <c r="F248" s="775"/>
      <c r="G248" s="775"/>
      <c r="H248" s="775"/>
      <c r="I248" s="775"/>
      <c r="J248" s="775"/>
      <c r="K248" s="775"/>
    </row>
    <row r="249" spans="1:11">
      <c r="A249" s="79" t="s">
        <v>455</v>
      </c>
      <c r="B249" s="764" t="s">
        <v>469</v>
      </c>
      <c r="C249" s="764"/>
      <c r="D249" s="764"/>
      <c r="E249" s="764"/>
      <c r="F249" s="764"/>
      <c r="G249" s="764"/>
      <c r="H249" s="764"/>
      <c r="I249" s="764"/>
      <c r="J249" s="86"/>
      <c r="K249" s="86"/>
    </row>
    <row r="250" spans="1:11">
      <c r="A250" s="79" t="s">
        <v>456</v>
      </c>
      <c r="B250" s="760" t="s">
        <v>1083</v>
      </c>
      <c r="C250" s="760"/>
      <c r="D250" s="760"/>
      <c r="E250" s="760"/>
      <c r="F250" s="760"/>
      <c r="G250" s="760"/>
      <c r="H250" s="760"/>
      <c r="I250" s="760"/>
      <c r="J250" s="760"/>
      <c r="K250" s="760"/>
    </row>
    <row r="251" spans="1:11">
      <c r="A251" s="79" t="s">
        <v>457</v>
      </c>
      <c r="B251" s="767" t="s">
        <v>462</v>
      </c>
      <c r="C251" s="767"/>
      <c r="D251" s="767"/>
      <c r="E251" s="767"/>
      <c r="F251" s="767"/>
      <c r="G251" s="767"/>
      <c r="H251" s="767"/>
      <c r="I251" s="767"/>
      <c r="J251" s="83"/>
      <c r="K251" s="83"/>
    </row>
    <row r="252" spans="1:11" ht="15.75" customHeight="1">
      <c r="A252" s="79" t="s">
        <v>89</v>
      </c>
      <c r="B252" s="778" t="s">
        <v>934</v>
      </c>
      <c r="C252" s="778"/>
      <c r="D252" s="778"/>
      <c r="E252" s="778"/>
      <c r="F252" s="778"/>
      <c r="G252" s="778"/>
      <c r="H252" s="778"/>
      <c r="I252" s="778"/>
      <c r="J252" s="89"/>
      <c r="K252" s="89"/>
    </row>
    <row r="253" spans="1:11" ht="29.25" customHeight="1">
      <c r="A253" s="79" t="s">
        <v>458</v>
      </c>
      <c r="B253" s="776" t="s">
        <v>926</v>
      </c>
      <c r="C253" s="776"/>
      <c r="D253" s="776"/>
      <c r="E253" s="776"/>
      <c r="F253" s="776"/>
      <c r="G253" s="776"/>
      <c r="H253" s="776"/>
      <c r="I253" s="776"/>
      <c r="J253" s="83"/>
      <c r="K253" s="83"/>
    </row>
    <row r="254" spans="1:11" ht="26.25" customHeight="1">
      <c r="A254" s="81" t="s">
        <v>459</v>
      </c>
      <c r="B254" s="759" t="s">
        <v>781</v>
      </c>
      <c r="C254" s="759"/>
      <c r="D254" s="759"/>
      <c r="E254" s="759"/>
      <c r="F254" s="759"/>
      <c r="G254" s="759"/>
      <c r="H254" s="759"/>
      <c r="I254" s="759"/>
      <c r="J254" s="91"/>
      <c r="K254" s="91"/>
    </row>
    <row r="255" spans="1:11" ht="27.75" customHeight="1">
      <c r="A255" s="81" t="s">
        <v>460</v>
      </c>
      <c r="B255" s="773" t="s">
        <v>1136</v>
      </c>
      <c r="C255" s="773"/>
      <c r="D255" s="773"/>
      <c r="E255" s="773"/>
      <c r="F255" s="773"/>
      <c r="G255" s="773"/>
      <c r="H255" s="773"/>
      <c r="I255" s="773"/>
      <c r="J255" s="92"/>
      <c r="K255" s="92"/>
    </row>
    <row r="256" spans="1:11" ht="27.75" customHeight="1">
      <c r="A256" s="81" t="s">
        <v>461</v>
      </c>
      <c r="B256" s="759" t="s">
        <v>745</v>
      </c>
      <c r="C256" s="759"/>
      <c r="D256" s="759"/>
      <c r="E256" s="759"/>
      <c r="F256" s="759"/>
      <c r="G256" s="759"/>
      <c r="H256" s="759"/>
      <c r="I256" s="759"/>
      <c r="J256" s="92"/>
      <c r="K256" s="92"/>
    </row>
    <row r="257" spans="1:11" ht="12.75" customHeight="1">
      <c r="A257" s="81" t="s">
        <v>655</v>
      </c>
      <c r="B257" s="759" t="s">
        <v>656</v>
      </c>
      <c r="C257" s="759"/>
      <c r="D257" s="759"/>
      <c r="E257" s="759"/>
      <c r="F257" s="759"/>
      <c r="G257" s="759"/>
      <c r="H257" s="759"/>
      <c r="I257" s="759"/>
      <c r="J257" s="92"/>
      <c r="K257" s="92"/>
    </row>
    <row r="258" spans="1:11" ht="27.75" customHeight="1">
      <c r="A258" s="81" t="s">
        <v>748</v>
      </c>
      <c r="B258" s="759" t="s">
        <v>927</v>
      </c>
      <c r="C258" s="759"/>
      <c r="D258" s="759"/>
      <c r="E258" s="759"/>
      <c r="F258" s="759"/>
      <c r="G258" s="759"/>
      <c r="H258" s="759"/>
      <c r="I258" s="759"/>
      <c r="J258" s="92"/>
      <c r="K258" s="92"/>
    </row>
    <row r="259" spans="1:11" ht="56.25" customHeight="1">
      <c r="A259" s="81" t="s">
        <v>749</v>
      </c>
      <c r="B259" s="759" t="s">
        <v>928</v>
      </c>
      <c r="C259" s="759"/>
      <c r="D259" s="759"/>
      <c r="E259" s="759"/>
      <c r="F259" s="759"/>
      <c r="G259" s="759"/>
      <c r="H259" s="759"/>
      <c r="I259" s="759"/>
      <c r="J259" s="92"/>
      <c r="K259" s="92"/>
    </row>
    <row r="260" spans="1:11">
      <c r="A260" s="81" t="s">
        <v>1028</v>
      </c>
      <c r="B260" s="759" t="s">
        <v>1029</v>
      </c>
      <c r="C260" s="759"/>
      <c r="D260" s="759"/>
      <c r="E260" s="759"/>
      <c r="F260" s="759"/>
      <c r="G260" s="759"/>
      <c r="H260" s="759"/>
      <c r="I260" s="759"/>
      <c r="J260" s="92"/>
      <c r="K260" s="92"/>
    </row>
    <row r="261" spans="1:11" ht="108.75" customHeight="1">
      <c r="A261" s="81" t="s">
        <v>1118</v>
      </c>
      <c r="B261" s="773" t="s">
        <v>1198</v>
      </c>
      <c r="C261" s="773"/>
      <c r="D261" s="773"/>
      <c r="E261" s="773"/>
      <c r="F261" s="773"/>
      <c r="G261" s="773"/>
      <c r="H261" s="773"/>
      <c r="I261" s="773"/>
      <c r="J261" s="92"/>
      <c r="K261" s="92"/>
    </row>
    <row r="262" spans="1:11">
      <c r="A262" s="90"/>
      <c r="C262" s="92"/>
      <c r="D262" s="92"/>
      <c r="E262" s="92"/>
      <c r="F262" s="92"/>
      <c r="G262" s="92"/>
      <c r="H262" s="92"/>
      <c r="I262" s="92"/>
      <c r="J262" s="92"/>
      <c r="K262" s="92"/>
    </row>
    <row r="263" spans="1:11">
      <c r="A263" s="95"/>
      <c r="B263" s="94"/>
      <c r="C263" s="89"/>
      <c r="D263" s="89"/>
      <c r="E263" s="89"/>
      <c r="F263" s="89"/>
      <c r="G263" s="89"/>
      <c r="H263" s="89"/>
      <c r="I263" s="89"/>
      <c r="J263" s="89"/>
      <c r="K263" s="89"/>
    </row>
    <row r="264" spans="1:11">
      <c r="A264" s="95"/>
      <c r="B264" s="89"/>
      <c r="C264" s="89"/>
      <c r="D264" s="89"/>
      <c r="E264" s="89"/>
      <c r="F264" s="89"/>
      <c r="G264" s="89"/>
      <c r="H264" s="89"/>
      <c r="I264" s="89"/>
      <c r="J264" s="89"/>
      <c r="K264" s="89"/>
    </row>
    <row r="265" spans="1:11">
      <c r="A265" s="93"/>
      <c r="B265" s="774"/>
      <c r="C265" s="774"/>
      <c r="D265" s="774"/>
      <c r="E265" s="774"/>
      <c r="F265" s="774"/>
      <c r="G265" s="774"/>
      <c r="H265" s="774"/>
      <c r="I265" s="774"/>
      <c r="J265" s="96"/>
      <c r="K265" s="96"/>
    </row>
    <row r="266" spans="1:11">
      <c r="A266" s="93"/>
    </row>
    <row r="267" spans="1:11">
      <c r="A267" s="93"/>
    </row>
    <row r="268" spans="1:11">
      <c r="A268" s="90"/>
      <c r="B268" s="97"/>
      <c r="C268" s="97"/>
      <c r="D268" s="97"/>
      <c r="E268" s="97"/>
      <c r="F268" s="97"/>
      <c r="G268" s="97"/>
      <c r="H268" s="98"/>
      <c r="I268" s="99"/>
      <c r="J268" s="100"/>
      <c r="K268" s="100"/>
    </row>
    <row r="269" spans="1:11" ht="25.5" customHeight="1">
      <c r="A269" s="90"/>
      <c r="J269" s="101"/>
      <c r="K269" s="101"/>
    </row>
    <row r="270" spans="1:11">
      <c r="A270" s="90"/>
      <c r="B270" s="89"/>
      <c r="C270" s="89"/>
      <c r="D270" s="89"/>
      <c r="E270" s="89"/>
      <c r="F270" s="89"/>
      <c r="G270" s="89"/>
      <c r="H270" s="89"/>
      <c r="I270" s="89"/>
      <c r="J270" s="89"/>
      <c r="K270" s="89"/>
    </row>
    <row r="271" spans="1:11">
      <c r="A271" s="90"/>
      <c r="B271" s="89"/>
      <c r="C271" s="89"/>
      <c r="D271" s="89"/>
      <c r="E271" s="89"/>
      <c r="F271" s="89"/>
      <c r="G271" s="89"/>
      <c r="H271" s="89"/>
      <c r="I271" s="89"/>
      <c r="J271" s="89"/>
      <c r="K271" s="89"/>
    </row>
    <row r="272" spans="1:11">
      <c r="A272" s="90"/>
      <c r="C272" s="89"/>
      <c r="D272" s="89"/>
      <c r="E272" s="89"/>
      <c r="F272" s="89"/>
      <c r="G272" s="89"/>
      <c r="H272" s="89"/>
      <c r="I272" s="89"/>
      <c r="J272" s="89"/>
      <c r="K272" s="89"/>
    </row>
    <row r="273" spans="1:11">
      <c r="A273" s="93"/>
      <c r="B273" s="772"/>
      <c r="C273" s="772"/>
      <c r="D273" s="772"/>
      <c r="E273" s="772"/>
      <c r="F273" s="772"/>
      <c r="G273" s="772"/>
      <c r="H273" s="772"/>
      <c r="I273" s="772"/>
      <c r="J273" s="89"/>
      <c r="K273" s="89"/>
    </row>
    <row r="274" spans="1:11">
      <c r="A274" s="90"/>
      <c r="B274" s="102"/>
      <c r="C274" s="89"/>
      <c r="D274" s="89"/>
      <c r="E274" s="89"/>
      <c r="F274" s="89"/>
      <c r="G274" s="89"/>
      <c r="H274" s="89"/>
      <c r="I274" s="89"/>
      <c r="J274" s="89"/>
      <c r="K274" s="89"/>
    </row>
    <row r="275" spans="1:11">
      <c r="A275" s="89"/>
      <c r="B275" s="102"/>
      <c r="C275" s="89"/>
      <c r="D275" s="89"/>
      <c r="E275" s="89"/>
      <c r="F275" s="89"/>
      <c r="G275" s="89"/>
      <c r="H275" s="89"/>
      <c r="I275" s="89"/>
      <c r="J275" s="89"/>
      <c r="K275" s="89"/>
    </row>
  </sheetData>
  <sheetProtection formatCells="0" formatColumns="0"/>
  <mergeCells count="43">
    <mergeCell ref="B273:I273"/>
    <mergeCell ref="B235:I235"/>
    <mergeCell ref="B236:K236"/>
    <mergeCell ref="B256:I256"/>
    <mergeCell ref="B260:I260"/>
    <mergeCell ref="B261:I261"/>
    <mergeCell ref="B265:I265"/>
    <mergeCell ref="B248:K248"/>
    <mergeCell ref="B253:I253"/>
    <mergeCell ref="B257:I257"/>
    <mergeCell ref="B255:I255"/>
    <mergeCell ref="B246:I246"/>
    <mergeCell ref="B247:I247"/>
    <mergeCell ref="B249:I249"/>
    <mergeCell ref="B252:I252"/>
    <mergeCell ref="B258:I258"/>
    <mergeCell ref="G161:K161"/>
    <mergeCell ref="A217:C217"/>
    <mergeCell ref="G217:K217"/>
    <mergeCell ref="F157:K157"/>
    <mergeCell ref="I1:K1"/>
    <mergeCell ref="J2:K2"/>
    <mergeCell ref="I158:K158"/>
    <mergeCell ref="I93:K93"/>
    <mergeCell ref="J94:K94"/>
    <mergeCell ref="I32:K32"/>
    <mergeCell ref="J33:K33"/>
    <mergeCell ref="F12:G12"/>
    <mergeCell ref="J159:K159"/>
    <mergeCell ref="B259:I259"/>
    <mergeCell ref="B250:K250"/>
    <mergeCell ref="G219:K219"/>
    <mergeCell ref="I220:K220"/>
    <mergeCell ref="J221:K221"/>
    <mergeCell ref="B242:K242"/>
    <mergeCell ref="B234:K234"/>
    <mergeCell ref="B237:I237"/>
    <mergeCell ref="B239:I239"/>
    <mergeCell ref="B240:I240"/>
    <mergeCell ref="B241:I241"/>
    <mergeCell ref="B254:I254"/>
    <mergeCell ref="B233:K233"/>
    <mergeCell ref="B251:I251"/>
  </mergeCells>
  <pageMargins left="0.5" right="0.25" top="1" bottom="1" header="0.5" footer="0.5"/>
  <pageSetup scale="64" fitToHeight="6" orientation="portrait" r:id="rId1"/>
  <headerFooter alignWithMargins="0"/>
  <rowBreaks count="4" manualBreakCount="4">
    <brk id="31" max="10" man="1"/>
    <brk id="92" max="10" man="1"/>
    <brk id="157" max="10" man="1"/>
    <brk id="219" max="10" man="1"/>
  </rowBreaks>
  <ignoredErrors>
    <ignoredError sqref="C114 G40:I40 B40:C40 B101 C101:I101" numberStoredAsText="1"/>
    <ignoredError sqref="G111 I78:I79" formula="1"/>
    <ignoredError sqref="I32 I158 I93 D191:D193 I220"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pageSetUpPr fitToPage="1"/>
  </sheetPr>
  <dimension ref="A1:N61"/>
  <sheetViews>
    <sheetView workbookViewId="0">
      <selection sqref="A1:N1"/>
    </sheetView>
  </sheetViews>
  <sheetFormatPr defaultColWidth="8.77734375" defaultRowHeight="12.75"/>
  <cols>
    <col min="1" max="1" width="4.77734375" style="2" bestFit="1" customWidth="1"/>
    <col min="2" max="2" width="8.21875" style="2" customWidth="1"/>
    <col min="3" max="3" width="24.109375" style="2" customWidth="1"/>
    <col min="4" max="4" width="7.5546875" style="2" bestFit="1" customWidth="1"/>
    <col min="5" max="5" width="9.5546875" style="2" bestFit="1" customWidth="1"/>
    <col min="6" max="12" width="9" style="2" customWidth="1"/>
    <col min="13" max="13" width="8.109375" style="2" customWidth="1"/>
    <col min="14" max="14" width="9.21875" style="2" bestFit="1" customWidth="1"/>
    <col min="15" max="16384" width="8.77734375" style="2"/>
  </cols>
  <sheetData>
    <row r="1" spans="1:14">
      <c r="A1" s="779" t="s">
        <v>531</v>
      </c>
      <c r="B1" s="779"/>
      <c r="C1" s="779"/>
      <c r="D1" s="779"/>
      <c r="E1" s="779"/>
      <c r="F1" s="779"/>
      <c r="G1" s="779"/>
      <c r="H1" s="779"/>
      <c r="I1" s="779"/>
      <c r="J1" s="779"/>
      <c r="K1" s="779"/>
      <c r="L1" s="779"/>
      <c r="M1" s="779"/>
      <c r="N1" s="779"/>
    </row>
    <row r="2" spans="1:14">
      <c r="A2" s="780" t="s">
        <v>222</v>
      </c>
      <c r="B2" s="780"/>
      <c r="C2" s="780"/>
      <c r="D2" s="780"/>
      <c r="E2" s="780"/>
      <c r="F2" s="780"/>
      <c r="G2" s="780"/>
      <c r="H2" s="780"/>
      <c r="I2" s="780"/>
      <c r="J2" s="780"/>
      <c r="K2" s="780"/>
      <c r="L2" s="780"/>
      <c r="M2" s="780"/>
      <c r="N2" s="780"/>
    </row>
    <row r="3" spans="1:14">
      <c r="A3" s="780" t="str">
        <f>'Act Att-H'!C7</f>
        <v>Cheyenne Light, Fuel &amp; Power</v>
      </c>
      <c r="B3" s="780"/>
      <c r="C3" s="780"/>
      <c r="D3" s="780"/>
      <c r="E3" s="780"/>
      <c r="F3" s="780"/>
      <c r="G3" s="780"/>
      <c r="H3" s="780"/>
      <c r="I3" s="780"/>
      <c r="J3" s="780"/>
      <c r="K3" s="780"/>
      <c r="L3" s="780"/>
      <c r="M3" s="780"/>
      <c r="N3" s="780"/>
    </row>
    <row r="4" spans="1:14">
      <c r="B4" s="444"/>
      <c r="C4" s="444"/>
      <c r="D4" s="444"/>
      <c r="E4" s="444"/>
      <c r="F4" s="444"/>
      <c r="G4" s="444"/>
      <c r="H4" s="444"/>
      <c r="I4" s="444"/>
      <c r="J4" s="444"/>
      <c r="K4" s="444"/>
      <c r="M4" s="2" t="s">
        <v>673</v>
      </c>
    </row>
    <row r="5" spans="1:14">
      <c r="A5" s="126" t="s">
        <v>154</v>
      </c>
      <c r="B5" s="129" t="s">
        <v>475</v>
      </c>
      <c r="C5" s="71"/>
      <c r="D5" s="103"/>
      <c r="E5" s="71"/>
      <c r="F5" s="71"/>
      <c r="G5" s="450"/>
      <c r="H5" s="71"/>
      <c r="I5" s="152"/>
      <c r="J5" s="103"/>
      <c r="K5" s="451"/>
    </row>
    <row r="6" spans="1:14">
      <c r="B6" s="452"/>
      <c r="C6" s="103"/>
      <c r="D6" s="453"/>
      <c r="E6" s="103"/>
      <c r="F6" s="103"/>
      <c r="G6" s="103"/>
      <c r="H6" s="103"/>
      <c r="I6" s="103"/>
      <c r="J6" s="103"/>
    </row>
    <row r="7" spans="1:14">
      <c r="A7" s="5">
        <v>1</v>
      </c>
      <c r="B7" s="454" t="s">
        <v>221</v>
      </c>
      <c r="C7" s="454" t="s">
        <v>191</v>
      </c>
      <c r="D7" s="455"/>
      <c r="E7" s="454" t="s">
        <v>9</v>
      </c>
      <c r="F7" s="454" t="s">
        <v>216</v>
      </c>
      <c r="G7" s="454" t="s">
        <v>240</v>
      </c>
      <c r="H7" s="782" t="s">
        <v>10</v>
      </c>
      <c r="I7" s="782"/>
      <c r="J7" s="454" t="s">
        <v>9</v>
      </c>
    </row>
    <row r="8" spans="1:14">
      <c r="A8" s="5">
        <f>A7+1</f>
        <v>2</v>
      </c>
      <c r="E8" s="27" t="s">
        <v>157</v>
      </c>
      <c r="F8" s="457" t="s">
        <v>158</v>
      </c>
      <c r="G8" s="457" t="s">
        <v>159</v>
      </c>
      <c r="H8" s="781" t="s">
        <v>160</v>
      </c>
      <c r="I8" s="781"/>
      <c r="J8" s="457" t="s">
        <v>705</v>
      </c>
    </row>
    <row r="9" spans="1:14">
      <c r="A9" s="5">
        <f t="shared" ref="A9:A57" si="0">A8+1</f>
        <v>3</v>
      </c>
      <c r="B9" s="458" t="s">
        <v>217</v>
      </c>
      <c r="C9" s="459"/>
      <c r="F9" s="459"/>
      <c r="G9" s="459"/>
      <c r="H9" s="103"/>
    </row>
    <row r="10" spans="1:14">
      <c r="A10" s="5">
        <f t="shared" si="0"/>
        <v>4</v>
      </c>
      <c r="B10" s="460">
        <v>45400</v>
      </c>
      <c r="C10" s="459" t="s">
        <v>218</v>
      </c>
      <c r="E10" s="212">
        <v>0</v>
      </c>
      <c r="F10" s="220">
        <v>0</v>
      </c>
      <c r="G10" s="220">
        <f>SUM(E10:F10)</f>
        <v>0</v>
      </c>
      <c r="H10" s="596" t="s">
        <v>11</v>
      </c>
      <c r="I10" s="162">
        <f>'Act Att-H'!I174</f>
        <v>0.94993800079121415</v>
      </c>
      <c r="J10" s="220">
        <f>G10*I10</f>
        <v>0</v>
      </c>
      <c r="K10" s="444"/>
    </row>
    <row r="11" spans="1:14">
      <c r="A11" s="5">
        <f t="shared" si="0"/>
        <v>5</v>
      </c>
      <c r="B11" s="460">
        <v>45400</v>
      </c>
      <c r="C11" s="459" t="s">
        <v>219</v>
      </c>
      <c r="E11" s="461">
        <v>1156745.6399999999</v>
      </c>
      <c r="F11" s="459">
        <v>0</v>
      </c>
      <c r="G11" s="459">
        <f>SUM(E11:F11)</f>
        <v>1156745.6399999999</v>
      </c>
      <c r="H11" s="27" t="s">
        <v>67</v>
      </c>
      <c r="I11" s="162">
        <f>'Act Att-H'!K195</f>
        <v>6.9716558849231183E-2</v>
      </c>
      <c r="J11" s="220">
        <f>G11*I11</f>
        <v>80644.325484651577</v>
      </c>
    </row>
    <row r="12" spans="1:14">
      <c r="A12" s="5">
        <f t="shared" si="0"/>
        <v>6</v>
      </c>
      <c r="B12" s="462" t="s">
        <v>220</v>
      </c>
      <c r="C12" s="462"/>
      <c r="D12" s="463"/>
      <c r="E12" s="435">
        <f>SUM(E10:E11)</f>
        <v>1156745.6399999999</v>
      </c>
      <c r="F12" s="435">
        <f>SUM(F10:F11)</f>
        <v>0</v>
      </c>
      <c r="G12" s="435">
        <f>SUM(G10:G11)</f>
        <v>1156745.6399999999</v>
      </c>
      <c r="H12" s="463"/>
      <c r="I12" s="597"/>
      <c r="J12" s="598">
        <f>SUM(J10:J11)</f>
        <v>80644.325484651577</v>
      </c>
    </row>
    <row r="13" spans="1:14">
      <c r="A13" s="5">
        <f t="shared" si="0"/>
        <v>7</v>
      </c>
      <c r="B13" s="464"/>
      <c r="C13" s="465"/>
      <c r="D13" s="465"/>
      <c r="E13" s="103"/>
      <c r="F13" s="103"/>
      <c r="G13" s="103"/>
      <c r="H13" s="456"/>
    </row>
    <row r="14" spans="1:14">
      <c r="A14" s="5">
        <f t="shared" si="0"/>
        <v>8</v>
      </c>
    </row>
    <row r="15" spans="1:14">
      <c r="A15" s="5">
        <f t="shared" si="0"/>
        <v>9</v>
      </c>
      <c r="B15" s="129" t="s">
        <v>805</v>
      </c>
      <c r="C15" s="71"/>
      <c r="D15" s="71"/>
      <c r="E15" s="71"/>
      <c r="F15" s="71"/>
      <c r="G15" s="71"/>
      <c r="H15" s="71"/>
      <c r="I15" s="152"/>
      <c r="J15" s="103"/>
      <c r="K15" s="451"/>
    </row>
    <row r="16" spans="1:14">
      <c r="A16" s="5">
        <f t="shared" si="0"/>
        <v>10</v>
      </c>
      <c r="F16" s="186"/>
      <c r="G16" s="186"/>
      <c r="H16" s="186" t="s">
        <v>234</v>
      </c>
      <c r="I16" s="186" t="s">
        <v>175</v>
      </c>
      <c r="K16" s="186"/>
      <c r="L16" s="186" t="s">
        <v>237</v>
      </c>
      <c r="M16" s="186"/>
      <c r="N16" s="186"/>
    </row>
    <row r="17" spans="1:14">
      <c r="A17" s="5">
        <f t="shared" si="0"/>
        <v>11</v>
      </c>
      <c r="B17" s="425"/>
      <c r="F17" s="186"/>
      <c r="G17" s="186"/>
      <c r="H17" s="186" t="s">
        <v>176</v>
      </c>
      <c r="I17" s="186" t="s">
        <v>177</v>
      </c>
      <c r="J17" s="186" t="s">
        <v>235</v>
      </c>
      <c r="K17" s="186" t="s">
        <v>237</v>
      </c>
      <c r="L17" s="186" t="s">
        <v>179</v>
      </c>
      <c r="M17" s="186" t="s">
        <v>239</v>
      </c>
      <c r="N17" s="186"/>
    </row>
    <row r="18" spans="1:14">
      <c r="A18" s="5">
        <f t="shared" si="0"/>
        <v>12</v>
      </c>
      <c r="F18" s="186" t="s">
        <v>232</v>
      </c>
      <c r="G18" s="186" t="s">
        <v>180</v>
      </c>
      <c r="H18" s="186" t="s">
        <v>181</v>
      </c>
      <c r="I18" s="186" t="s">
        <v>182</v>
      </c>
      <c r="J18" s="186" t="s">
        <v>178</v>
      </c>
      <c r="K18" s="186" t="s">
        <v>183</v>
      </c>
      <c r="L18" s="186" t="s">
        <v>184</v>
      </c>
      <c r="M18" s="186" t="s">
        <v>184</v>
      </c>
      <c r="N18" s="186"/>
    </row>
    <row r="19" spans="1:14">
      <c r="A19" s="5">
        <f t="shared" si="0"/>
        <v>13</v>
      </c>
      <c r="F19" s="186" t="s">
        <v>233</v>
      </c>
      <c r="G19" s="186" t="s">
        <v>231</v>
      </c>
      <c r="H19" s="186" t="s">
        <v>185</v>
      </c>
      <c r="I19" s="186" t="s">
        <v>186</v>
      </c>
      <c r="J19" s="186" t="s">
        <v>236</v>
      </c>
      <c r="K19" s="186" t="s">
        <v>238</v>
      </c>
      <c r="L19" s="186" t="s">
        <v>187</v>
      </c>
      <c r="M19" s="186" t="s">
        <v>187</v>
      </c>
      <c r="N19" s="186" t="s">
        <v>188</v>
      </c>
    </row>
    <row r="20" spans="1:14">
      <c r="A20" s="5">
        <f t="shared" si="0"/>
        <v>14</v>
      </c>
      <c r="B20" s="186"/>
      <c r="C20" s="186"/>
      <c r="D20" s="186" t="s">
        <v>189</v>
      </c>
      <c r="E20" s="186" t="s">
        <v>556</v>
      </c>
      <c r="F20" s="186" t="s">
        <v>223</v>
      </c>
      <c r="G20" s="186" t="s">
        <v>224</v>
      </c>
      <c r="H20" s="186" t="s">
        <v>225</v>
      </c>
      <c r="I20" s="186" t="s">
        <v>226</v>
      </c>
      <c r="J20" s="186" t="s">
        <v>227</v>
      </c>
      <c r="K20" s="186" t="s">
        <v>228</v>
      </c>
      <c r="L20" s="186" t="s">
        <v>229</v>
      </c>
      <c r="M20" s="186" t="s">
        <v>230</v>
      </c>
      <c r="N20" s="186" t="s">
        <v>4</v>
      </c>
    </row>
    <row r="21" spans="1:14">
      <c r="A21" s="5">
        <f t="shared" si="0"/>
        <v>15</v>
      </c>
      <c r="B21" s="454" t="s">
        <v>190</v>
      </c>
      <c r="C21" s="454" t="s">
        <v>191</v>
      </c>
      <c r="D21" s="466" t="s">
        <v>192</v>
      </c>
      <c r="E21" s="466" t="s">
        <v>557</v>
      </c>
      <c r="F21" s="454"/>
      <c r="G21" s="454"/>
      <c r="H21" s="454"/>
      <c r="I21" s="454"/>
      <c r="J21" s="454"/>
      <c r="K21" s="454"/>
      <c r="L21" s="454"/>
      <c r="M21" s="454"/>
      <c r="N21" s="454" t="s">
        <v>193</v>
      </c>
    </row>
    <row r="22" spans="1:14">
      <c r="A22" s="5">
        <f t="shared" si="0"/>
        <v>16</v>
      </c>
      <c r="E22" s="27" t="s">
        <v>157</v>
      </c>
      <c r="F22" s="27" t="s">
        <v>158</v>
      </c>
      <c r="G22" s="27" t="s">
        <v>159</v>
      </c>
      <c r="H22" s="27" t="s">
        <v>160</v>
      </c>
      <c r="I22" s="27" t="s">
        <v>161</v>
      </c>
      <c r="J22" s="27" t="s">
        <v>162</v>
      </c>
      <c r="K22" s="27" t="s">
        <v>163</v>
      </c>
      <c r="L22" s="27" t="s">
        <v>164</v>
      </c>
      <c r="M22" s="27" t="s">
        <v>194</v>
      </c>
      <c r="N22" s="27" t="s">
        <v>195</v>
      </c>
    </row>
    <row r="23" spans="1:14">
      <c r="A23" s="5">
        <f t="shared" si="0"/>
        <v>17</v>
      </c>
    </row>
    <row r="24" spans="1:14">
      <c r="A24" s="5">
        <f t="shared" si="0"/>
        <v>18</v>
      </c>
      <c r="B24" s="467" t="s">
        <v>196</v>
      </c>
      <c r="C24" s="467" t="s">
        <v>1229</v>
      </c>
      <c r="D24" s="468" t="s">
        <v>1234</v>
      </c>
      <c r="E24" s="469"/>
      <c r="F24" s="470"/>
      <c r="G24" s="471"/>
      <c r="H24" s="470"/>
      <c r="I24" s="470">
        <v>617785</v>
      </c>
      <c r="J24" s="470"/>
      <c r="K24" s="470"/>
      <c r="L24" s="470"/>
      <c r="M24" s="470"/>
      <c r="N24" s="470">
        <f>SUM(F24:M24)</f>
        <v>617785</v>
      </c>
    </row>
    <row r="25" spans="1:14">
      <c r="A25" s="5">
        <f t="shared" si="0"/>
        <v>19</v>
      </c>
      <c r="B25" s="467" t="s">
        <v>196</v>
      </c>
      <c r="C25" s="467" t="s">
        <v>1230</v>
      </c>
      <c r="D25" s="468" t="s">
        <v>1233</v>
      </c>
      <c r="E25" s="469"/>
      <c r="F25" s="470">
        <v>44</v>
      </c>
      <c r="G25" s="470"/>
      <c r="H25" s="470"/>
      <c r="I25" s="470">
        <v>10</v>
      </c>
      <c r="J25" s="470"/>
      <c r="K25" s="470"/>
      <c r="L25" s="470"/>
      <c r="M25" s="470"/>
      <c r="N25" s="470">
        <f>SUM(F25:M25)</f>
        <v>54</v>
      </c>
    </row>
    <row r="26" spans="1:14">
      <c r="A26" s="5">
        <f t="shared" si="0"/>
        <v>20</v>
      </c>
      <c r="B26" s="467"/>
      <c r="C26" s="467"/>
      <c r="D26" s="468"/>
      <c r="E26" s="469"/>
      <c r="F26" s="470"/>
      <c r="G26" s="471"/>
      <c r="H26" s="470"/>
      <c r="I26" s="470"/>
      <c r="J26" s="470"/>
      <c r="K26" s="470"/>
      <c r="L26" s="470"/>
      <c r="M26" s="470"/>
      <c r="N26" s="470"/>
    </row>
    <row r="27" spans="1:14">
      <c r="A27" s="5">
        <f t="shared" si="0"/>
        <v>21</v>
      </c>
      <c r="B27" s="467"/>
      <c r="C27" s="467"/>
      <c r="D27" s="468"/>
      <c r="E27" s="469"/>
      <c r="F27" s="470"/>
      <c r="G27" s="470"/>
      <c r="H27" s="470"/>
      <c r="I27" s="470"/>
      <c r="J27" s="470"/>
      <c r="K27" s="470"/>
      <c r="L27" s="470"/>
      <c r="M27" s="470"/>
      <c r="N27" s="470"/>
    </row>
    <row r="28" spans="1:14">
      <c r="A28" s="5">
        <f t="shared" si="0"/>
        <v>22</v>
      </c>
      <c r="B28" s="467"/>
      <c r="C28" s="467"/>
      <c r="D28" s="468"/>
      <c r="E28" s="469"/>
      <c r="F28" s="470"/>
      <c r="G28" s="470"/>
      <c r="H28" s="470"/>
      <c r="I28" s="470"/>
      <c r="J28" s="470"/>
      <c r="K28" s="470"/>
      <c r="L28" s="470"/>
      <c r="M28" s="470"/>
      <c r="N28" s="470"/>
    </row>
    <row r="29" spans="1:14">
      <c r="A29" s="5">
        <f t="shared" si="0"/>
        <v>23</v>
      </c>
      <c r="B29" s="467"/>
      <c r="C29" s="467"/>
      <c r="D29" s="467"/>
      <c r="E29" s="469"/>
      <c r="F29" s="470"/>
      <c r="G29" s="470"/>
      <c r="H29" s="470"/>
      <c r="I29" s="470"/>
      <c r="J29" s="470"/>
      <c r="K29" s="470"/>
      <c r="L29" s="470"/>
      <c r="M29" s="470"/>
      <c r="N29" s="470"/>
    </row>
    <row r="30" spans="1:14">
      <c r="A30" s="5">
        <f t="shared" si="0"/>
        <v>24</v>
      </c>
      <c r="B30" s="467"/>
      <c r="C30" s="467"/>
      <c r="D30" s="468"/>
      <c r="E30" s="469"/>
      <c r="F30" s="470"/>
      <c r="G30" s="470"/>
      <c r="H30" s="470"/>
      <c r="I30" s="470"/>
      <c r="J30" s="470"/>
      <c r="K30" s="470"/>
      <c r="L30" s="470"/>
      <c r="M30" s="470"/>
      <c r="N30" s="470"/>
    </row>
    <row r="31" spans="1:14">
      <c r="A31" s="5">
        <f t="shared" si="0"/>
        <v>25</v>
      </c>
      <c r="B31" s="467"/>
      <c r="C31" s="467"/>
      <c r="D31" s="468"/>
      <c r="E31" s="469"/>
      <c r="F31" s="470"/>
      <c r="G31" s="470"/>
      <c r="H31" s="470"/>
      <c r="I31" s="470"/>
      <c r="J31" s="470"/>
      <c r="K31" s="470"/>
      <c r="L31" s="470"/>
      <c r="M31" s="470"/>
      <c r="N31" s="470"/>
    </row>
    <row r="32" spans="1:14">
      <c r="A32" s="5">
        <f t="shared" si="0"/>
        <v>26</v>
      </c>
      <c r="B32" s="467"/>
      <c r="C32" s="467"/>
      <c r="D32" s="468"/>
      <c r="E32" s="469"/>
      <c r="F32" s="470"/>
      <c r="G32" s="470"/>
      <c r="H32" s="470"/>
      <c r="I32" s="470"/>
      <c r="J32" s="470"/>
      <c r="K32" s="470"/>
      <c r="L32" s="470"/>
      <c r="M32" s="470"/>
      <c r="N32" s="470"/>
    </row>
    <row r="33" spans="1:14">
      <c r="A33" s="5">
        <f t="shared" si="0"/>
        <v>27</v>
      </c>
      <c r="B33" s="467"/>
      <c r="C33" s="467"/>
      <c r="D33" s="468"/>
      <c r="E33" s="469"/>
      <c r="F33" s="470"/>
      <c r="G33" s="470"/>
      <c r="H33" s="470"/>
      <c r="I33" s="470"/>
      <c r="J33" s="470"/>
      <c r="K33" s="470"/>
      <c r="L33" s="470"/>
      <c r="M33" s="470"/>
      <c r="N33" s="470"/>
    </row>
    <row r="34" spans="1:14">
      <c r="A34" s="5">
        <f t="shared" si="0"/>
        <v>28</v>
      </c>
      <c r="B34" s="467"/>
      <c r="C34" s="467"/>
      <c r="D34" s="467"/>
      <c r="E34" s="469"/>
      <c r="F34" s="470"/>
      <c r="G34" s="470"/>
      <c r="H34" s="470"/>
      <c r="I34" s="470"/>
      <c r="J34" s="470"/>
      <c r="K34" s="470"/>
      <c r="L34" s="470"/>
      <c r="M34" s="470"/>
      <c r="N34" s="470"/>
    </row>
    <row r="35" spans="1:14">
      <c r="A35" s="5">
        <f t="shared" si="0"/>
        <v>29</v>
      </c>
      <c r="B35" s="467"/>
      <c r="C35" s="467"/>
      <c r="D35" s="467"/>
      <c r="E35" s="469"/>
      <c r="F35" s="470"/>
      <c r="G35" s="470"/>
      <c r="H35" s="470"/>
      <c r="I35" s="470"/>
      <c r="J35" s="470"/>
      <c r="K35" s="470"/>
      <c r="L35" s="470"/>
      <c r="M35" s="470"/>
      <c r="N35" s="470"/>
    </row>
    <row r="36" spans="1:14">
      <c r="A36" s="5">
        <f t="shared" si="0"/>
        <v>30</v>
      </c>
      <c r="B36" s="467"/>
      <c r="C36" s="467"/>
      <c r="D36" s="467"/>
      <c r="E36" s="467"/>
      <c r="F36" s="470"/>
      <c r="G36" s="470"/>
      <c r="H36" s="470"/>
      <c r="I36" s="470"/>
      <c r="J36" s="470"/>
      <c r="K36" s="470"/>
      <c r="L36" s="470"/>
      <c r="M36" s="470"/>
      <c r="N36" s="470"/>
    </row>
    <row r="37" spans="1:14">
      <c r="A37" s="5">
        <f t="shared" si="0"/>
        <v>31</v>
      </c>
      <c r="B37" s="467"/>
      <c r="C37" s="467"/>
      <c r="D37" s="467"/>
      <c r="E37" s="469"/>
      <c r="F37" s="470"/>
      <c r="G37" s="470"/>
      <c r="H37" s="470"/>
      <c r="I37" s="470"/>
      <c r="J37" s="470"/>
      <c r="K37" s="470"/>
      <c r="L37" s="470"/>
      <c r="M37" s="470"/>
      <c r="N37" s="470"/>
    </row>
    <row r="38" spans="1:14">
      <c r="A38" s="5">
        <f t="shared" si="0"/>
        <v>32</v>
      </c>
      <c r="B38" s="467"/>
      <c r="C38" s="467"/>
      <c r="D38" s="468"/>
      <c r="E38" s="469"/>
      <c r="F38" s="470"/>
      <c r="G38" s="470"/>
      <c r="H38" s="470"/>
      <c r="I38" s="470"/>
      <c r="J38" s="470"/>
      <c r="K38" s="470"/>
      <c r="L38" s="470"/>
      <c r="M38" s="470"/>
      <c r="N38" s="470"/>
    </row>
    <row r="39" spans="1:14">
      <c r="A39" s="5">
        <f t="shared" si="0"/>
        <v>33</v>
      </c>
      <c r="B39" s="467"/>
      <c r="C39" s="467"/>
      <c r="D39" s="468"/>
      <c r="E39" s="469"/>
      <c r="F39" s="470"/>
      <c r="G39" s="470"/>
      <c r="H39" s="470"/>
      <c r="I39" s="470"/>
      <c r="J39" s="470"/>
      <c r="K39" s="470"/>
      <c r="L39" s="470"/>
      <c r="M39" s="470"/>
      <c r="N39" s="470"/>
    </row>
    <row r="40" spans="1:14">
      <c r="A40" s="5">
        <f t="shared" si="0"/>
        <v>34</v>
      </c>
      <c r="B40" s="467"/>
      <c r="C40" s="467"/>
      <c r="D40" s="468"/>
      <c r="E40" s="469"/>
      <c r="F40" s="470"/>
      <c r="G40" s="470"/>
      <c r="H40" s="470"/>
      <c r="I40" s="470"/>
      <c r="J40" s="470"/>
      <c r="K40" s="470"/>
      <c r="L40" s="470"/>
      <c r="M40" s="470"/>
      <c r="N40" s="470"/>
    </row>
    <row r="41" spans="1:14">
      <c r="A41" s="5">
        <f t="shared" si="0"/>
        <v>35</v>
      </c>
      <c r="B41" s="467"/>
      <c r="C41" s="467"/>
      <c r="D41" s="468"/>
      <c r="E41" s="469"/>
      <c r="F41" s="470"/>
      <c r="G41" s="470"/>
      <c r="H41" s="470"/>
      <c r="I41" s="470"/>
      <c r="J41" s="470"/>
      <c r="K41" s="470"/>
      <c r="L41" s="470"/>
      <c r="M41" s="470"/>
      <c r="N41" s="470"/>
    </row>
    <row r="42" spans="1:14">
      <c r="A42" s="5">
        <f t="shared" si="0"/>
        <v>36</v>
      </c>
      <c r="B42" s="467"/>
      <c r="C42" s="467"/>
      <c r="D42" s="467"/>
      <c r="E42" s="469"/>
      <c r="F42" s="470"/>
      <c r="G42" s="470"/>
      <c r="H42" s="470"/>
      <c r="I42" s="470"/>
      <c r="J42" s="470"/>
      <c r="K42" s="470"/>
      <c r="L42" s="470"/>
      <c r="M42" s="470"/>
      <c r="N42" s="470"/>
    </row>
    <row r="43" spans="1:14">
      <c r="A43" s="5">
        <f t="shared" si="0"/>
        <v>37</v>
      </c>
      <c r="B43" s="467"/>
      <c r="C43" s="467"/>
      <c r="D43" s="467"/>
      <c r="E43" s="469"/>
      <c r="F43" s="470"/>
      <c r="G43" s="470"/>
      <c r="H43" s="470"/>
      <c r="I43" s="470"/>
      <c r="J43" s="470"/>
      <c r="K43" s="470"/>
      <c r="L43" s="470"/>
      <c r="M43" s="470"/>
      <c r="N43" s="470"/>
    </row>
    <row r="44" spans="1:14">
      <c r="A44" s="5">
        <f t="shared" si="0"/>
        <v>38</v>
      </c>
      <c r="B44" s="472"/>
      <c r="C44" s="472"/>
      <c r="D44" s="472"/>
      <c r="E44" s="472"/>
      <c r="F44" s="473"/>
      <c r="G44" s="473"/>
      <c r="H44" s="473"/>
      <c r="I44" s="473"/>
      <c r="J44" s="473"/>
      <c r="K44" s="473"/>
      <c r="L44" s="473"/>
      <c r="M44" s="473"/>
      <c r="N44" s="473"/>
    </row>
    <row r="45" spans="1:14">
      <c r="A45" s="5">
        <f t="shared" si="0"/>
        <v>39</v>
      </c>
      <c r="B45" s="463"/>
      <c r="C45" s="463" t="s">
        <v>9</v>
      </c>
      <c r="D45" s="463"/>
      <c r="E45" s="474"/>
      <c r="F45" s="474">
        <f t="shared" ref="F45:N45" si="1">SUM(F24:F44)</f>
        <v>44</v>
      </c>
      <c r="G45" s="474">
        <f t="shared" si="1"/>
        <v>0</v>
      </c>
      <c r="H45" s="474">
        <f t="shared" si="1"/>
        <v>0</v>
      </c>
      <c r="I45" s="474">
        <f t="shared" si="1"/>
        <v>617795</v>
      </c>
      <c r="J45" s="474">
        <f t="shared" si="1"/>
        <v>0</v>
      </c>
      <c r="K45" s="474">
        <f t="shared" si="1"/>
        <v>0</v>
      </c>
      <c r="L45" s="474">
        <f t="shared" si="1"/>
        <v>0</v>
      </c>
      <c r="M45" s="474">
        <f t="shared" si="1"/>
        <v>0</v>
      </c>
      <c r="N45" s="474">
        <f t="shared" si="1"/>
        <v>617839</v>
      </c>
    </row>
    <row r="46" spans="1:14">
      <c r="A46" s="5">
        <f t="shared" si="0"/>
        <v>40</v>
      </c>
      <c r="E46" s="213"/>
      <c r="F46" s="475"/>
      <c r="G46" s="475"/>
      <c r="H46" s="475"/>
      <c r="I46" s="475"/>
      <c r="J46" s="475"/>
      <c r="K46" s="475"/>
      <c r="L46" s="475"/>
      <c r="M46" s="475"/>
      <c r="N46" s="475"/>
    </row>
    <row r="47" spans="1:14">
      <c r="A47" s="5">
        <f t="shared" si="0"/>
        <v>41</v>
      </c>
      <c r="B47" s="476" t="s">
        <v>199</v>
      </c>
      <c r="E47" s="477"/>
      <c r="F47" s="475"/>
      <c r="G47" s="475"/>
      <c r="H47" s="475"/>
      <c r="I47" s="475"/>
      <c r="J47" s="475"/>
      <c r="K47" s="475"/>
      <c r="L47" s="475"/>
      <c r="M47" s="475"/>
      <c r="N47" s="475"/>
    </row>
    <row r="48" spans="1:14" s="425" customFormat="1" ht="15" customHeight="1">
      <c r="A48" s="5">
        <f t="shared" si="0"/>
        <v>42</v>
      </c>
      <c r="B48" s="2" t="s">
        <v>196</v>
      </c>
      <c r="C48" s="2"/>
      <c r="D48" s="2"/>
      <c r="E48" s="2"/>
      <c r="F48" s="475">
        <f t="shared" ref="F48:N51" si="2">SUMIF($B$24:$B$44,$B48,F$24:F$44)</f>
        <v>44</v>
      </c>
      <c r="G48" s="475">
        <f t="shared" si="2"/>
        <v>0</v>
      </c>
      <c r="H48" s="475">
        <f t="shared" si="2"/>
        <v>0</v>
      </c>
      <c r="I48" s="475">
        <f t="shared" si="2"/>
        <v>617795</v>
      </c>
      <c r="J48" s="475">
        <f t="shared" si="2"/>
        <v>0</v>
      </c>
      <c r="K48" s="475">
        <f t="shared" si="2"/>
        <v>0</v>
      </c>
      <c r="L48" s="475">
        <f t="shared" si="2"/>
        <v>0</v>
      </c>
      <c r="M48" s="475">
        <f t="shared" si="2"/>
        <v>0</v>
      </c>
      <c r="N48" s="475">
        <f t="shared" si="2"/>
        <v>617839</v>
      </c>
    </row>
    <row r="49" spans="1:14">
      <c r="A49" s="5">
        <f t="shared" si="0"/>
        <v>43</v>
      </c>
      <c r="B49" s="2" t="s">
        <v>197</v>
      </c>
      <c r="F49" s="475">
        <f t="shared" si="2"/>
        <v>0</v>
      </c>
      <c r="G49" s="475">
        <f t="shared" si="2"/>
        <v>0</v>
      </c>
      <c r="H49" s="475">
        <f t="shared" si="2"/>
        <v>0</v>
      </c>
      <c r="I49" s="475">
        <f t="shared" si="2"/>
        <v>0</v>
      </c>
      <c r="J49" s="475">
        <f t="shared" si="2"/>
        <v>0</v>
      </c>
      <c r="K49" s="475">
        <f t="shared" si="2"/>
        <v>0</v>
      </c>
      <c r="L49" s="475">
        <f t="shared" si="2"/>
        <v>0</v>
      </c>
      <c r="M49" s="475">
        <f t="shared" si="2"/>
        <v>0</v>
      </c>
      <c r="N49" s="475">
        <f t="shared" si="2"/>
        <v>0</v>
      </c>
    </row>
    <row r="50" spans="1:14">
      <c r="A50" s="5">
        <f t="shared" si="0"/>
        <v>44</v>
      </c>
      <c r="B50" s="2" t="s">
        <v>198</v>
      </c>
      <c r="F50" s="475">
        <f t="shared" si="2"/>
        <v>0</v>
      </c>
      <c r="G50" s="475">
        <f t="shared" si="2"/>
        <v>0</v>
      </c>
      <c r="H50" s="475">
        <f t="shared" si="2"/>
        <v>0</v>
      </c>
      <c r="I50" s="475">
        <f t="shared" si="2"/>
        <v>0</v>
      </c>
      <c r="J50" s="475">
        <f t="shared" si="2"/>
        <v>0</v>
      </c>
      <c r="K50" s="475">
        <f t="shared" si="2"/>
        <v>0</v>
      </c>
      <c r="L50" s="475">
        <f t="shared" si="2"/>
        <v>0</v>
      </c>
      <c r="M50" s="475">
        <f t="shared" si="2"/>
        <v>0</v>
      </c>
      <c r="N50" s="475">
        <f t="shared" si="2"/>
        <v>0</v>
      </c>
    </row>
    <row r="51" spans="1:14">
      <c r="A51" s="5">
        <f t="shared" si="0"/>
        <v>45</v>
      </c>
      <c r="B51" s="2" t="s">
        <v>200</v>
      </c>
      <c r="F51" s="475">
        <f t="shared" si="2"/>
        <v>0</v>
      </c>
      <c r="G51" s="475">
        <f t="shared" si="2"/>
        <v>0</v>
      </c>
      <c r="H51" s="475">
        <f t="shared" si="2"/>
        <v>0</v>
      </c>
      <c r="I51" s="475">
        <f t="shared" si="2"/>
        <v>0</v>
      </c>
      <c r="J51" s="475">
        <f t="shared" si="2"/>
        <v>0</v>
      </c>
      <c r="K51" s="475">
        <f t="shared" si="2"/>
        <v>0</v>
      </c>
      <c r="L51" s="475">
        <f t="shared" si="2"/>
        <v>0</v>
      </c>
      <c r="M51" s="475">
        <f t="shared" si="2"/>
        <v>0</v>
      </c>
      <c r="N51" s="475">
        <f t="shared" si="2"/>
        <v>0</v>
      </c>
    </row>
    <row r="52" spans="1:14">
      <c r="A52" s="5">
        <f t="shared" si="0"/>
        <v>46</v>
      </c>
      <c r="B52" s="463" t="s">
        <v>9</v>
      </c>
      <c r="C52" s="463"/>
      <c r="D52" s="463"/>
      <c r="E52" s="463"/>
      <c r="F52" s="474">
        <f t="shared" ref="F52" si="3">SUM(F48:F51)</f>
        <v>44</v>
      </c>
      <c r="G52" s="474">
        <f t="shared" ref="G52:M52" si="4">SUM(G48:G51)</f>
        <v>0</v>
      </c>
      <c r="H52" s="474">
        <f t="shared" si="4"/>
        <v>0</v>
      </c>
      <c r="I52" s="474">
        <f t="shared" si="4"/>
        <v>617795</v>
      </c>
      <c r="J52" s="474">
        <f t="shared" si="4"/>
        <v>0</v>
      </c>
      <c r="K52" s="474">
        <f t="shared" si="4"/>
        <v>0</v>
      </c>
      <c r="L52" s="474">
        <f t="shared" si="4"/>
        <v>0</v>
      </c>
      <c r="M52" s="474">
        <f t="shared" si="4"/>
        <v>0</v>
      </c>
      <c r="N52" s="474">
        <f>SUM(N48:N51)</f>
        <v>617839</v>
      </c>
    </row>
    <row r="53" spans="1:14">
      <c r="A53" s="5">
        <f t="shared" si="0"/>
        <v>47</v>
      </c>
      <c r="F53" s="475"/>
      <c r="G53" s="475"/>
      <c r="H53" s="475"/>
      <c r="I53" s="475"/>
      <c r="J53" s="475"/>
      <c r="K53" s="475"/>
      <c r="L53" s="475"/>
      <c r="M53" s="475"/>
      <c r="N53" s="475"/>
    </row>
    <row r="54" spans="1:14">
      <c r="A54" s="5">
        <f t="shared" si="0"/>
        <v>48</v>
      </c>
      <c r="B54" s="478" t="s">
        <v>555</v>
      </c>
    </row>
    <row r="55" spans="1:14">
      <c r="A55" s="5">
        <f t="shared" si="0"/>
        <v>49</v>
      </c>
      <c r="B55" s="2" t="s">
        <v>198</v>
      </c>
      <c r="C55" s="2" t="s">
        <v>201</v>
      </c>
    </row>
    <row r="56" spans="1:14">
      <c r="A56" s="5">
        <f t="shared" si="0"/>
        <v>50</v>
      </c>
      <c r="B56" s="2" t="s">
        <v>197</v>
      </c>
      <c r="C56" s="2" t="s">
        <v>202</v>
      </c>
    </row>
    <row r="57" spans="1:14">
      <c r="A57" s="5">
        <f t="shared" si="0"/>
        <v>51</v>
      </c>
      <c r="B57" s="2" t="s">
        <v>196</v>
      </c>
      <c r="C57" s="2" t="s">
        <v>203</v>
      </c>
    </row>
    <row r="58" spans="1:14">
      <c r="A58" s="5"/>
    </row>
    <row r="59" spans="1:14">
      <c r="A59" s="479" t="s">
        <v>174</v>
      </c>
    </row>
    <row r="60" spans="1:14" ht="12.75" customHeight="1">
      <c r="A60" s="27" t="s">
        <v>79</v>
      </c>
      <c r="B60" s="765" t="s">
        <v>90</v>
      </c>
      <c r="C60" s="765"/>
      <c r="D60" s="765"/>
      <c r="E60" s="765"/>
      <c r="F60" s="765"/>
      <c r="G60" s="765"/>
      <c r="H60" s="765"/>
      <c r="I60" s="765"/>
      <c r="J60" s="765"/>
      <c r="K60" s="765"/>
      <c r="L60" s="765"/>
      <c r="M60" s="765"/>
    </row>
    <row r="61" spans="1:14">
      <c r="A61" s="27" t="s">
        <v>80</v>
      </c>
      <c r="B61" s="2" t="s">
        <v>806</v>
      </c>
    </row>
  </sheetData>
  <mergeCells count="6">
    <mergeCell ref="A1:N1"/>
    <mergeCell ref="A2:N2"/>
    <mergeCell ref="A3:N3"/>
    <mergeCell ref="B60:M60"/>
    <mergeCell ref="H8:I8"/>
    <mergeCell ref="H7:I7"/>
  </mergeCells>
  <pageMargins left="0.5" right="0.25" top="1" bottom="1" header="0.5" footer="0.5"/>
  <pageSetup scale="6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pageSetUpPr fitToPage="1"/>
  </sheetPr>
  <dimension ref="A1:D49"/>
  <sheetViews>
    <sheetView workbookViewId="0">
      <selection sqref="A1:D1"/>
    </sheetView>
  </sheetViews>
  <sheetFormatPr defaultColWidth="7.109375" defaultRowHeight="12.75"/>
  <cols>
    <col min="1" max="1" width="5.5546875" style="204" customWidth="1"/>
    <col min="2" max="2" width="35.5546875" style="204" customWidth="1"/>
    <col min="3" max="3" width="24.21875" style="204" customWidth="1"/>
    <col min="4" max="4" width="11.109375" style="215" customWidth="1"/>
    <col min="5" max="16384" width="7.109375" style="204"/>
  </cols>
  <sheetData>
    <row r="1" spans="1:4" ht="14.25" customHeight="1">
      <c r="A1" s="784" t="s">
        <v>532</v>
      </c>
      <c r="B1" s="784"/>
      <c r="C1" s="784"/>
      <c r="D1" s="784"/>
    </row>
    <row r="2" spans="1:4">
      <c r="A2" s="784" t="s">
        <v>206</v>
      </c>
      <c r="B2" s="784"/>
      <c r="C2" s="784"/>
      <c r="D2" s="784"/>
    </row>
    <row r="3" spans="1:4">
      <c r="A3" s="785" t="str">
        <f>'Act Att-H'!C7</f>
        <v>Cheyenne Light, Fuel &amp; Power</v>
      </c>
      <c r="B3" s="784"/>
      <c r="C3" s="784"/>
      <c r="D3" s="784"/>
    </row>
    <row r="4" spans="1:4">
      <c r="D4" s="205" t="s">
        <v>673</v>
      </c>
    </row>
    <row r="5" spans="1:4">
      <c r="D5" s="204"/>
    </row>
    <row r="6" spans="1:4">
      <c r="A6" s="206" t="s">
        <v>4</v>
      </c>
      <c r="C6" s="207" t="s">
        <v>20</v>
      </c>
      <c r="D6" s="208"/>
    </row>
    <row r="7" spans="1:4">
      <c r="A7" s="209" t="s">
        <v>6</v>
      </c>
      <c r="B7" s="209" t="s">
        <v>478</v>
      </c>
      <c r="C7" s="210" t="s">
        <v>22</v>
      </c>
      <c r="D7" s="211" t="s">
        <v>23</v>
      </c>
    </row>
    <row r="8" spans="1:4" ht="13.35" customHeight="1">
      <c r="A8" s="206">
        <v>1</v>
      </c>
      <c r="B8" s="204" t="s">
        <v>207</v>
      </c>
      <c r="C8" s="204" t="s">
        <v>208</v>
      </c>
      <c r="D8" s="212">
        <v>51455.44</v>
      </c>
    </row>
    <row r="9" spans="1:4" ht="13.35" customHeight="1">
      <c r="A9" s="206">
        <v>2</v>
      </c>
      <c r="B9" s="204" t="s">
        <v>209</v>
      </c>
      <c r="C9" s="204" t="s">
        <v>210</v>
      </c>
      <c r="D9" s="212">
        <v>695657</v>
      </c>
    </row>
    <row r="10" spans="1:4" ht="13.35" customHeight="1">
      <c r="A10" s="206">
        <v>3</v>
      </c>
      <c r="B10" s="204" t="s">
        <v>211</v>
      </c>
      <c r="C10" s="204" t="s">
        <v>212</v>
      </c>
      <c r="D10" s="212">
        <v>165378</v>
      </c>
    </row>
    <row r="11" spans="1:4" ht="13.35" customHeight="1">
      <c r="A11" s="206">
        <v>4</v>
      </c>
      <c r="B11" s="204" t="s">
        <v>1113</v>
      </c>
      <c r="C11" s="204" t="s">
        <v>476</v>
      </c>
      <c r="D11" s="212">
        <v>0</v>
      </c>
    </row>
    <row r="12" spans="1:4" ht="13.35" customHeight="1">
      <c r="A12" s="206" t="s">
        <v>1078</v>
      </c>
      <c r="B12" s="204" t="s">
        <v>1094</v>
      </c>
      <c r="C12" s="204" t="s">
        <v>918</v>
      </c>
      <c r="D12" s="212">
        <v>0</v>
      </c>
    </row>
    <row r="13" spans="1:4" ht="13.35" customHeight="1">
      <c r="A13" s="206" t="s">
        <v>1079</v>
      </c>
      <c r="B13" s="204" t="s">
        <v>1095</v>
      </c>
      <c r="C13" s="204" t="s">
        <v>918</v>
      </c>
      <c r="D13" s="212">
        <v>0</v>
      </c>
    </row>
    <row r="14" spans="1:4" ht="13.35" customHeight="1" thickBot="1">
      <c r="A14" s="206">
        <v>5</v>
      </c>
      <c r="B14" s="204" t="s">
        <v>263</v>
      </c>
      <c r="C14" s="204" t="s">
        <v>1112</v>
      </c>
      <c r="D14" s="214">
        <f>SUM(D8:D10,D12:D13)-D11</f>
        <v>912490.44</v>
      </c>
    </row>
    <row r="15" spans="1:4" ht="13.35" customHeight="1" thickTop="1">
      <c r="A15" s="206">
        <v>6</v>
      </c>
    </row>
    <row r="16" spans="1:4" ht="13.35" customHeight="1">
      <c r="A16" s="206">
        <v>7</v>
      </c>
    </row>
    <row r="17" spans="1:4" ht="13.35" customHeight="1">
      <c r="A17" s="206">
        <v>8</v>
      </c>
      <c r="B17" s="216" t="s">
        <v>213</v>
      </c>
      <c r="D17" s="217"/>
    </row>
    <row r="18" spans="1:4" ht="13.15" customHeight="1">
      <c r="A18" s="206">
        <v>9</v>
      </c>
      <c r="D18" s="217"/>
    </row>
    <row r="19" spans="1:4" ht="13.35" customHeight="1">
      <c r="A19" s="206">
        <v>10</v>
      </c>
      <c r="B19" s="204" t="s">
        <v>824</v>
      </c>
      <c r="C19" s="204" t="s">
        <v>825</v>
      </c>
      <c r="D19" s="212">
        <v>0</v>
      </c>
    </row>
    <row r="20" spans="1:4" ht="13.35" customHeight="1">
      <c r="A20" s="206">
        <v>11</v>
      </c>
      <c r="B20" s="204" t="s">
        <v>917</v>
      </c>
      <c r="C20" s="204" t="s">
        <v>1222</v>
      </c>
      <c r="D20" s="212">
        <v>0</v>
      </c>
    </row>
    <row r="21" spans="1:4" ht="13.35" customHeight="1">
      <c r="A21" s="206">
        <v>12</v>
      </c>
      <c r="D21" s="213"/>
    </row>
    <row r="22" spans="1:4" ht="13.35" customHeight="1">
      <c r="A22" s="206">
        <v>13</v>
      </c>
      <c r="D22" s="218"/>
    </row>
    <row r="23" spans="1:4" ht="13.35" customHeight="1">
      <c r="A23" s="206">
        <v>14</v>
      </c>
      <c r="B23" s="204" t="s">
        <v>9</v>
      </c>
      <c r="C23" s="216"/>
      <c r="D23" s="219">
        <f>SUM(D19:D22)</f>
        <v>0</v>
      </c>
    </row>
    <row r="24" spans="1:4" ht="13.35" customHeight="1">
      <c r="A24" s="206">
        <v>15</v>
      </c>
      <c r="D24" s="213"/>
    </row>
    <row r="25" spans="1:4" ht="13.35" customHeight="1" thickBot="1">
      <c r="A25" s="206">
        <v>16</v>
      </c>
      <c r="B25" s="204" t="s">
        <v>264</v>
      </c>
      <c r="D25" s="214">
        <f>+D23</f>
        <v>0</v>
      </c>
    </row>
    <row r="26" spans="1:4" ht="13.35" customHeight="1" thickTop="1">
      <c r="A26" s="206">
        <v>17</v>
      </c>
      <c r="D26" s="220"/>
    </row>
    <row r="27" spans="1:4" ht="13.35" customHeight="1">
      <c r="A27" s="206">
        <v>18</v>
      </c>
      <c r="D27" s="220"/>
    </row>
    <row r="28" spans="1:4" ht="13.35" customHeight="1">
      <c r="A28" s="206">
        <v>19</v>
      </c>
      <c r="B28" s="216" t="s">
        <v>1114</v>
      </c>
      <c r="D28" s="220"/>
    </row>
    <row r="29" spans="1:4" ht="13.15" customHeight="1">
      <c r="A29" s="206">
        <v>20</v>
      </c>
      <c r="B29" s="204" t="s">
        <v>214</v>
      </c>
      <c r="C29" s="204" t="s">
        <v>477</v>
      </c>
      <c r="D29" s="212"/>
    </row>
    <row r="30" spans="1:4" ht="13.35" customHeight="1">
      <c r="A30" s="206">
        <v>21</v>
      </c>
      <c r="B30" s="204" t="s">
        <v>215</v>
      </c>
      <c r="C30" s="204" t="s">
        <v>477</v>
      </c>
      <c r="D30" s="212">
        <v>452052.88319999998</v>
      </c>
    </row>
    <row r="31" spans="1:4" ht="13.35" customHeight="1" thickBot="1">
      <c r="A31" s="206">
        <v>22</v>
      </c>
      <c r="B31" s="204" t="s">
        <v>1114</v>
      </c>
      <c r="C31" s="204" t="s">
        <v>1030</v>
      </c>
      <c r="D31" s="214">
        <f>SUM(D29:D30)</f>
        <v>452052.88319999998</v>
      </c>
    </row>
    <row r="32" spans="1:4" ht="13.35" customHeight="1" thickTop="1">
      <c r="A32" s="206"/>
      <c r="D32" s="220"/>
    </row>
    <row r="33" spans="1:4" ht="13.35" customHeight="1">
      <c r="A33" s="381" t="s">
        <v>174</v>
      </c>
      <c r="B33" s="221"/>
      <c r="D33" s="220"/>
    </row>
    <row r="34" spans="1:4" ht="25.5" customHeight="1">
      <c r="A34" s="421" t="s">
        <v>79</v>
      </c>
      <c r="B34" s="783" t="s">
        <v>675</v>
      </c>
      <c r="C34" s="783"/>
      <c r="D34" s="783"/>
    </row>
    <row r="35" spans="1:4" ht="33" customHeight="1">
      <c r="A35" s="421" t="s">
        <v>80</v>
      </c>
      <c r="B35" s="783" t="s">
        <v>932</v>
      </c>
      <c r="C35" s="783"/>
      <c r="D35" s="783"/>
    </row>
    <row r="36" spans="1:4" ht="17.25" customHeight="1">
      <c r="A36" s="421" t="s">
        <v>81</v>
      </c>
      <c r="B36" s="783" t="s">
        <v>823</v>
      </c>
      <c r="C36" s="783"/>
      <c r="D36" s="783"/>
    </row>
    <row r="37" spans="1:4" ht="25.5" customHeight="1">
      <c r="A37" s="421" t="s">
        <v>82</v>
      </c>
      <c r="B37" s="783" t="s">
        <v>1115</v>
      </c>
      <c r="C37" s="783"/>
      <c r="D37" s="783"/>
    </row>
    <row r="38" spans="1:4">
      <c r="A38" s="206"/>
    </row>
    <row r="39" spans="1:4">
      <c r="A39" s="206"/>
    </row>
    <row r="40" spans="1:4">
      <c r="A40" s="206"/>
    </row>
    <row r="41" spans="1:4">
      <c r="A41" s="206"/>
    </row>
    <row r="42" spans="1:4">
      <c r="A42" s="206"/>
    </row>
    <row r="43" spans="1:4">
      <c r="A43" s="206"/>
    </row>
    <row r="44" spans="1:4">
      <c r="A44" s="206"/>
    </row>
    <row r="45" spans="1:4">
      <c r="A45" s="206"/>
    </row>
    <row r="46" spans="1:4">
      <c r="A46" s="206"/>
    </row>
    <row r="47" spans="1:4">
      <c r="A47" s="206"/>
    </row>
    <row r="49" ht="25.5" customHeight="1"/>
  </sheetData>
  <mergeCells count="7">
    <mergeCell ref="B37:D37"/>
    <mergeCell ref="B36:D36"/>
    <mergeCell ref="B35:D35"/>
    <mergeCell ref="A1:D1"/>
    <mergeCell ref="A2:D2"/>
    <mergeCell ref="A3:D3"/>
    <mergeCell ref="B34:D34"/>
  </mergeCells>
  <pageMargins left="0.75" right="0.75" top="1" bottom="1" header="0.5" footer="0.5"/>
  <pageSetup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pageSetUpPr fitToPage="1"/>
  </sheetPr>
  <dimension ref="A1:J91"/>
  <sheetViews>
    <sheetView workbookViewId="0">
      <selection sqref="A1:I1"/>
    </sheetView>
  </sheetViews>
  <sheetFormatPr defaultRowHeight="12.75"/>
  <cols>
    <col min="1" max="1" width="6.109375" style="2" customWidth="1"/>
    <col min="2" max="2" width="36.44140625" style="2" bestFit="1" customWidth="1"/>
    <col min="3" max="3" width="12.109375" style="2" bestFit="1" customWidth="1"/>
    <col min="4" max="4" width="12.21875" style="2" bestFit="1" customWidth="1"/>
    <col min="5" max="5" width="12.109375" style="2" bestFit="1" customWidth="1"/>
    <col min="6" max="6" width="15.5546875" style="2" bestFit="1" customWidth="1"/>
    <col min="7" max="7" width="6.77734375" style="2" customWidth="1"/>
    <col min="8" max="8" width="7.109375" style="2" customWidth="1"/>
    <col min="9" max="9" width="8.77734375" style="2"/>
    <col min="10" max="10" width="22" style="2" bestFit="1" customWidth="1"/>
    <col min="11" max="248" width="8.77734375" style="2"/>
    <col min="249" max="249" width="6.109375" style="2" customWidth="1"/>
    <col min="250" max="252" width="11.77734375" style="2" customWidth="1"/>
    <col min="253" max="254" width="9.77734375" style="2" customWidth="1"/>
    <col min="255" max="255" width="15.109375" style="2" bestFit="1" customWidth="1"/>
    <col min="256" max="504" width="8.77734375" style="2"/>
    <col min="505" max="505" width="6.109375" style="2" customWidth="1"/>
    <col min="506" max="508" width="11.77734375" style="2" customWidth="1"/>
    <col min="509" max="510" width="9.77734375" style="2" customWidth="1"/>
    <col min="511" max="511" width="15.109375" style="2" bestFit="1" customWidth="1"/>
    <col min="512" max="760" width="8.77734375" style="2"/>
    <col min="761" max="761" width="6.109375" style="2" customWidth="1"/>
    <col min="762" max="764" width="11.77734375" style="2" customWidth="1"/>
    <col min="765" max="766" width="9.77734375" style="2" customWidth="1"/>
    <col min="767" max="767" width="15.109375" style="2" bestFit="1" customWidth="1"/>
    <col min="768" max="1016" width="8.77734375" style="2"/>
    <col min="1017" max="1017" width="6.109375" style="2" customWidth="1"/>
    <col min="1018" max="1020" width="11.77734375" style="2" customWidth="1"/>
    <col min="1021" max="1022" width="9.77734375" style="2" customWidth="1"/>
    <col min="1023" max="1023" width="15.109375" style="2" bestFit="1" customWidth="1"/>
    <col min="1024" max="1272" width="8.77734375" style="2"/>
    <col min="1273" max="1273" width="6.109375" style="2" customWidth="1"/>
    <col min="1274" max="1276" width="11.77734375" style="2" customWidth="1"/>
    <col min="1277" max="1278" width="9.77734375" style="2" customWidth="1"/>
    <col min="1279" max="1279" width="15.109375" style="2" bestFit="1" customWidth="1"/>
    <col min="1280" max="1528" width="8.77734375" style="2"/>
    <col min="1529" max="1529" width="6.109375" style="2" customWidth="1"/>
    <col min="1530" max="1532" width="11.77734375" style="2" customWidth="1"/>
    <col min="1533" max="1534" width="9.77734375" style="2" customWidth="1"/>
    <col min="1535" max="1535" width="15.109375" style="2" bestFit="1" customWidth="1"/>
    <col min="1536" max="1784" width="8.77734375" style="2"/>
    <col min="1785" max="1785" width="6.109375" style="2" customWidth="1"/>
    <col min="1786" max="1788" width="11.77734375" style="2" customWidth="1"/>
    <col min="1789" max="1790" width="9.77734375" style="2" customWidth="1"/>
    <col min="1791" max="1791" width="15.109375" style="2" bestFit="1" customWidth="1"/>
    <col min="1792" max="2040" width="8.77734375" style="2"/>
    <col min="2041" max="2041" width="6.109375" style="2" customWidth="1"/>
    <col min="2042" max="2044" width="11.77734375" style="2" customWidth="1"/>
    <col min="2045" max="2046" width="9.77734375" style="2" customWidth="1"/>
    <col min="2047" max="2047" width="15.109375" style="2" bestFit="1" customWidth="1"/>
    <col min="2048" max="2296" width="8.77734375" style="2"/>
    <col min="2297" max="2297" width="6.109375" style="2" customWidth="1"/>
    <col min="2298" max="2300" width="11.77734375" style="2" customWidth="1"/>
    <col min="2301" max="2302" width="9.77734375" style="2" customWidth="1"/>
    <col min="2303" max="2303" width="15.109375" style="2" bestFit="1" customWidth="1"/>
    <col min="2304" max="2552" width="8.77734375" style="2"/>
    <col min="2553" max="2553" width="6.109375" style="2" customWidth="1"/>
    <col min="2554" max="2556" width="11.77734375" style="2" customWidth="1"/>
    <col min="2557" max="2558" width="9.77734375" style="2" customWidth="1"/>
    <col min="2559" max="2559" width="15.109375" style="2" bestFit="1" customWidth="1"/>
    <col min="2560" max="2808" width="8.77734375" style="2"/>
    <col min="2809" max="2809" width="6.109375" style="2" customWidth="1"/>
    <col min="2810" max="2812" width="11.77734375" style="2" customWidth="1"/>
    <col min="2813" max="2814" width="9.77734375" style="2" customWidth="1"/>
    <col min="2815" max="2815" width="15.109375" style="2" bestFit="1" customWidth="1"/>
    <col min="2816" max="3064" width="8.77734375" style="2"/>
    <col min="3065" max="3065" width="6.109375" style="2" customWidth="1"/>
    <col min="3066" max="3068" width="11.77734375" style="2" customWidth="1"/>
    <col min="3069" max="3070" width="9.77734375" style="2" customWidth="1"/>
    <col min="3071" max="3071" width="15.109375" style="2" bestFit="1" customWidth="1"/>
    <col min="3072" max="3320" width="8.77734375" style="2"/>
    <col min="3321" max="3321" width="6.109375" style="2" customWidth="1"/>
    <col min="3322" max="3324" width="11.77734375" style="2" customWidth="1"/>
    <col min="3325" max="3326" width="9.77734375" style="2" customWidth="1"/>
    <col min="3327" max="3327" width="15.109375" style="2" bestFit="1" customWidth="1"/>
    <col min="3328" max="3576" width="8.77734375" style="2"/>
    <col min="3577" max="3577" width="6.109375" style="2" customWidth="1"/>
    <col min="3578" max="3580" width="11.77734375" style="2" customWidth="1"/>
    <col min="3581" max="3582" width="9.77734375" style="2" customWidth="1"/>
    <col min="3583" max="3583" width="15.109375" style="2" bestFit="1" customWidth="1"/>
    <col min="3584" max="3832" width="8.77734375" style="2"/>
    <col min="3833" max="3833" width="6.109375" style="2" customWidth="1"/>
    <col min="3834" max="3836" width="11.77734375" style="2" customWidth="1"/>
    <col min="3837" max="3838" width="9.77734375" style="2" customWidth="1"/>
    <col min="3839" max="3839" width="15.109375" style="2" bestFit="1" customWidth="1"/>
    <col min="3840" max="4088" width="8.77734375" style="2"/>
    <col min="4089" max="4089" width="6.109375" style="2" customWidth="1"/>
    <col min="4090" max="4092" width="11.77734375" style="2" customWidth="1"/>
    <col min="4093" max="4094" width="9.77734375" style="2" customWidth="1"/>
    <col min="4095" max="4095" width="15.109375" style="2" bestFit="1" customWidth="1"/>
    <col min="4096" max="4344" width="8.77734375" style="2"/>
    <col min="4345" max="4345" width="6.109375" style="2" customWidth="1"/>
    <col min="4346" max="4348" width="11.77734375" style="2" customWidth="1"/>
    <col min="4349" max="4350" width="9.77734375" style="2" customWidth="1"/>
    <col min="4351" max="4351" width="15.109375" style="2" bestFit="1" customWidth="1"/>
    <col min="4352" max="4600" width="8.77734375" style="2"/>
    <col min="4601" max="4601" width="6.109375" style="2" customWidth="1"/>
    <col min="4602" max="4604" width="11.77734375" style="2" customWidth="1"/>
    <col min="4605" max="4606" width="9.77734375" style="2" customWidth="1"/>
    <col min="4607" max="4607" width="15.109375" style="2" bestFit="1" customWidth="1"/>
    <col min="4608" max="4856" width="8.77734375" style="2"/>
    <col min="4857" max="4857" width="6.109375" style="2" customWidth="1"/>
    <col min="4858" max="4860" width="11.77734375" style="2" customWidth="1"/>
    <col min="4861" max="4862" width="9.77734375" style="2" customWidth="1"/>
    <col min="4863" max="4863" width="15.109375" style="2" bestFit="1" customWidth="1"/>
    <col min="4864" max="5112" width="8.77734375" style="2"/>
    <col min="5113" max="5113" width="6.109375" style="2" customWidth="1"/>
    <col min="5114" max="5116" width="11.77734375" style="2" customWidth="1"/>
    <col min="5117" max="5118" width="9.77734375" style="2" customWidth="1"/>
    <col min="5119" max="5119" width="15.109375" style="2" bestFit="1" customWidth="1"/>
    <col min="5120" max="5368" width="8.77734375" style="2"/>
    <col min="5369" max="5369" width="6.109375" style="2" customWidth="1"/>
    <col min="5370" max="5372" width="11.77734375" style="2" customWidth="1"/>
    <col min="5373" max="5374" width="9.77734375" style="2" customWidth="1"/>
    <col min="5375" max="5375" width="15.109375" style="2" bestFit="1" customWidth="1"/>
    <col min="5376" max="5624" width="8.77734375" style="2"/>
    <col min="5625" max="5625" width="6.109375" style="2" customWidth="1"/>
    <col min="5626" max="5628" width="11.77734375" style="2" customWidth="1"/>
    <col min="5629" max="5630" width="9.77734375" style="2" customWidth="1"/>
    <col min="5631" max="5631" width="15.109375" style="2" bestFit="1" customWidth="1"/>
    <col min="5632" max="5880" width="8.77734375" style="2"/>
    <col min="5881" max="5881" width="6.109375" style="2" customWidth="1"/>
    <col min="5882" max="5884" width="11.77734375" style="2" customWidth="1"/>
    <col min="5885" max="5886" width="9.77734375" style="2" customWidth="1"/>
    <col min="5887" max="5887" width="15.109375" style="2" bestFit="1" customWidth="1"/>
    <col min="5888" max="6136" width="8.77734375" style="2"/>
    <col min="6137" max="6137" width="6.109375" style="2" customWidth="1"/>
    <col min="6138" max="6140" width="11.77734375" style="2" customWidth="1"/>
    <col min="6141" max="6142" width="9.77734375" style="2" customWidth="1"/>
    <col min="6143" max="6143" width="15.109375" style="2" bestFit="1" customWidth="1"/>
    <col min="6144" max="6392" width="8.77734375" style="2"/>
    <col min="6393" max="6393" width="6.109375" style="2" customWidth="1"/>
    <col min="6394" max="6396" width="11.77734375" style="2" customWidth="1"/>
    <col min="6397" max="6398" width="9.77734375" style="2" customWidth="1"/>
    <col min="6399" max="6399" width="15.109375" style="2" bestFit="1" customWidth="1"/>
    <col min="6400" max="6648" width="8.77734375" style="2"/>
    <col min="6649" max="6649" width="6.109375" style="2" customWidth="1"/>
    <col min="6650" max="6652" width="11.77734375" style="2" customWidth="1"/>
    <col min="6653" max="6654" width="9.77734375" style="2" customWidth="1"/>
    <col min="6655" max="6655" width="15.109375" style="2" bestFit="1" customWidth="1"/>
    <col min="6656" max="6904" width="8.77734375" style="2"/>
    <col min="6905" max="6905" width="6.109375" style="2" customWidth="1"/>
    <col min="6906" max="6908" width="11.77734375" style="2" customWidth="1"/>
    <col min="6909" max="6910" width="9.77734375" style="2" customWidth="1"/>
    <col min="6911" max="6911" width="15.109375" style="2" bestFit="1" customWidth="1"/>
    <col min="6912" max="7160" width="8.77734375" style="2"/>
    <col min="7161" max="7161" width="6.109375" style="2" customWidth="1"/>
    <col min="7162" max="7164" width="11.77734375" style="2" customWidth="1"/>
    <col min="7165" max="7166" width="9.77734375" style="2" customWidth="1"/>
    <col min="7167" max="7167" width="15.109375" style="2" bestFit="1" customWidth="1"/>
    <col min="7168" max="7416" width="8.77734375" style="2"/>
    <col min="7417" max="7417" width="6.109375" style="2" customWidth="1"/>
    <col min="7418" max="7420" width="11.77734375" style="2" customWidth="1"/>
    <col min="7421" max="7422" width="9.77734375" style="2" customWidth="1"/>
    <col min="7423" max="7423" width="15.109375" style="2" bestFit="1" customWidth="1"/>
    <col min="7424" max="7672" width="8.77734375" style="2"/>
    <col min="7673" max="7673" width="6.109375" style="2" customWidth="1"/>
    <col min="7674" max="7676" width="11.77734375" style="2" customWidth="1"/>
    <col min="7677" max="7678" width="9.77734375" style="2" customWidth="1"/>
    <col min="7679" max="7679" width="15.109375" style="2" bestFit="1" customWidth="1"/>
    <col min="7680" max="7928" width="8.77734375" style="2"/>
    <col min="7929" max="7929" width="6.109375" style="2" customWidth="1"/>
    <col min="7930" max="7932" width="11.77734375" style="2" customWidth="1"/>
    <col min="7933" max="7934" width="9.77734375" style="2" customWidth="1"/>
    <col min="7935" max="7935" width="15.109375" style="2" bestFit="1" customWidth="1"/>
    <col min="7936" max="8184" width="8.77734375" style="2"/>
    <col min="8185" max="8185" width="6.109375" style="2" customWidth="1"/>
    <col min="8186" max="8188" width="11.77734375" style="2" customWidth="1"/>
    <col min="8189" max="8190" width="9.77734375" style="2" customWidth="1"/>
    <col min="8191" max="8191" width="15.109375" style="2" bestFit="1" customWidth="1"/>
    <col min="8192" max="8440" width="8.77734375" style="2"/>
    <col min="8441" max="8441" width="6.109375" style="2" customWidth="1"/>
    <col min="8442" max="8444" width="11.77734375" style="2" customWidth="1"/>
    <col min="8445" max="8446" width="9.77734375" style="2" customWidth="1"/>
    <col min="8447" max="8447" width="15.109375" style="2" bestFit="1" customWidth="1"/>
    <col min="8448" max="8696" width="8.77734375" style="2"/>
    <col min="8697" max="8697" width="6.109375" style="2" customWidth="1"/>
    <col min="8698" max="8700" width="11.77734375" style="2" customWidth="1"/>
    <col min="8701" max="8702" width="9.77734375" style="2" customWidth="1"/>
    <col min="8703" max="8703" width="15.109375" style="2" bestFit="1" customWidth="1"/>
    <col min="8704" max="8952" width="8.77734375" style="2"/>
    <col min="8953" max="8953" width="6.109375" style="2" customWidth="1"/>
    <col min="8954" max="8956" width="11.77734375" style="2" customWidth="1"/>
    <col min="8957" max="8958" width="9.77734375" style="2" customWidth="1"/>
    <col min="8959" max="8959" width="15.109375" style="2" bestFit="1" customWidth="1"/>
    <col min="8960" max="9208" width="8.77734375" style="2"/>
    <col min="9209" max="9209" width="6.109375" style="2" customWidth="1"/>
    <col min="9210" max="9212" width="11.77734375" style="2" customWidth="1"/>
    <col min="9213" max="9214" width="9.77734375" style="2" customWidth="1"/>
    <col min="9215" max="9215" width="15.109375" style="2" bestFit="1" customWidth="1"/>
    <col min="9216" max="9464" width="8.77734375" style="2"/>
    <col min="9465" max="9465" width="6.109375" style="2" customWidth="1"/>
    <col min="9466" max="9468" width="11.77734375" style="2" customWidth="1"/>
    <col min="9469" max="9470" width="9.77734375" style="2" customWidth="1"/>
    <col min="9471" max="9471" width="15.109375" style="2" bestFit="1" customWidth="1"/>
    <col min="9472" max="9720" width="8.77734375" style="2"/>
    <col min="9721" max="9721" width="6.109375" style="2" customWidth="1"/>
    <col min="9722" max="9724" width="11.77734375" style="2" customWidth="1"/>
    <col min="9725" max="9726" width="9.77734375" style="2" customWidth="1"/>
    <col min="9727" max="9727" width="15.109375" style="2" bestFit="1" customWidth="1"/>
    <col min="9728" max="9976" width="8.77734375" style="2"/>
    <col min="9977" max="9977" width="6.109375" style="2" customWidth="1"/>
    <col min="9978" max="9980" width="11.77734375" style="2" customWidth="1"/>
    <col min="9981" max="9982" width="9.77734375" style="2" customWidth="1"/>
    <col min="9983" max="9983" width="15.109375" style="2" bestFit="1" customWidth="1"/>
    <col min="9984" max="10232" width="8.77734375" style="2"/>
    <col min="10233" max="10233" width="6.109375" style="2" customWidth="1"/>
    <col min="10234" max="10236" width="11.77734375" style="2" customWidth="1"/>
    <col min="10237" max="10238" width="9.77734375" style="2" customWidth="1"/>
    <col min="10239" max="10239" width="15.109375" style="2" bestFit="1" customWidth="1"/>
    <col min="10240" max="10488" width="8.77734375" style="2"/>
    <col min="10489" max="10489" width="6.109375" style="2" customWidth="1"/>
    <col min="10490" max="10492" width="11.77734375" style="2" customWidth="1"/>
    <col min="10493" max="10494" width="9.77734375" style="2" customWidth="1"/>
    <col min="10495" max="10495" width="15.109375" style="2" bestFit="1" customWidth="1"/>
    <col min="10496" max="10744" width="8.77734375" style="2"/>
    <col min="10745" max="10745" width="6.109375" style="2" customWidth="1"/>
    <col min="10746" max="10748" width="11.77734375" style="2" customWidth="1"/>
    <col min="10749" max="10750" width="9.77734375" style="2" customWidth="1"/>
    <col min="10751" max="10751" width="15.109375" style="2" bestFit="1" customWidth="1"/>
    <col min="10752" max="11000" width="8.77734375" style="2"/>
    <col min="11001" max="11001" width="6.109375" style="2" customWidth="1"/>
    <col min="11002" max="11004" width="11.77734375" style="2" customWidth="1"/>
    <col min="11005" max="11006" width="9.77734375" style="2" customWidth="1"/>
    <col min="11007" max="11007" width="15.109375" style="2" bestFit="1" customWidth="1"/>
    <col min="11008" max="11256" width="8.77734375" style="2"/>
    <col min="11257" max="11257" width="6.109375" style="2" customWidth="1"/>
    <col min="11258" max="11260" width="11.77734375" style="2" customWidth="1"/>
    <col min="11261" max="11262" width="9.77734375" style="2" customWidth="1"/>
    <col min="11263" max="11263" width="15.109375" style="2" bestFit="1" customWidth="1"/>
    <col min="11264" max="11512" width="8.77734375" style="2"/>
    <col min="11513" max="11513" width="6.109375" style="2" customWidth="1"/>
    <col min="11514" max="11516" width="11.77734375" style="2" customWidth="1"/>
    <col min="11517" max="11518" width="9.77734375" style="2" customWidth="1"/>
    <col min="11519" max="11519" width="15.109375" style="2" bestFit="1" customWidth="1"/>
    <col min="11520" max="11768" width="8.77734375" style="2"/>
    <col min="11769" max="11769" width="6.109375" style="2" customWidth="1"/>
    <col min="11770" max="11772" width="11.77734375" style="2" customWidth="1"/>
    <col min="11773" max="11774" width="9.77734375" style="2" customWidth="1"/>
    <col min="11775" max="11775" width="15.109375" style="2" bestFit="1" customWidth="1"/>
    <col min="11776" max="12024" width="8.77734375" style="2"/>
    <col min="12025" max="12025" width="6.109375" style="2" customWidth="1"/>
    <col min="12026" max="12028" width="11.77734375" style="2" customWidth="1"/>
    <col min="12029" max="12030" width="9.77734375" style="2" customWidth="1"/>
    <col min="12031" max="12031" width="15.109375" style="2" bestFit="1" customWidth="1"/>
    <col min="12032" max="12280" width="8.77734375" style="2"/>
    <col min="12281" max="12281" width="6.109375" style="2" customWidth="1"/>
    <col min="12282" max="12284" width="11.77734375" style="2" customWidth="1"/>
    <col min="12285" max="12286" width="9.77734375" style="2" customWidth="1"/>
    <col min="12287" max="12287" width="15.109375" style="2" bestFit="1" customWidth="1"/>
    <col min="12288" max="12536" width="8.77734375" style="2"/>
    <col min="12537" max="12537" width="6.109375" style="2" customWidth="1"/>
    <col min="12538" max="12540" width="11.77734375" style="2" customWidth="1"/>
    <col min="12541" max="12542" width="9.77734375" style="2" customWidth="1"/>
    <col min="12543" max="12543" width="15.109375" style="2" bestFit="1" customWidth="1"/>
    <col min="12544" max="12792" width="8.77734375" style="2"/>
    <col min="12793" max="12793" width="6.109375" style="2" customWidth="1"/>
    <col min="12794" max="12796" width="11.77734375" style="2" customWidth="1"/>
    <col min="12797" max="12798" width="9.77734375" style="2" customWidth="1"/>
    <col min="12799" max="12799" width="15.109375" style="2" bestFit="1" customWidth="1"/>
    <col min="12800" max="13048" width="8.77734375" style="2"/>
    <col min="13049" max="13049" width="6.109375" style="2" customWidth="1"/>
    <col min="13050" max="13052" width="11.77734375" style="2" customWidth="1"/>
    <col min="13053" max="13054" width="9.77734375" style="2" customWidth="1"/>
    <col min="13055" max="13055" width="15.109375" style="2" bestFit="1" customWidth="1"/>
    <col min="13056" max="13304" width="8.77734375" style="2"/>
    <col min="13305" max="13305" width="6.109375" style="2" customWidth="1"/>
    <col min="13306" max="13308" width="11.77734375" style="2" customWidth="1"/>
    <col min="13309" max="13310" width="9.77734375" style="2" customWidth="1"/>
    <col min="13311" max="13311" width="15.109375" style="2" bestFit="1" customWidth="1"/>
    <col min="13312" max="13560" width="8.77734375" style="2"/>
    <col min="13561" max="13561" width="6.109375" style="2" customWidth="1"/>
    <col min="13562" max="13564" width="11.77734375" style="2" customWidth="1"/>
    <col min="13565" max="13566" width="9.77734375" style="2" customWidth="1"/>
    <col min="13567" max="13567" width="15.109375" style="2" bestFit="1" customWidth="1"/>
    <col min="13568" max="13816" width="8.77734375" style="2"/>
    <col min="13817" max="13817" width="6.109375" style="2" customWidth="1"/>
    <col min="13818" max="13820" width="11.77734375" style="2" customWidth="1"/>
    <col min="13821" max="13822" width="9.77734375" style="2" customWidth="1"/>
    <col min="13823" max="13823" width="15.109375" style="2" bestFit="1" customWidth="1"/>
    <col min="13824" max="14072" width="8.77734375" style="2"/>
    <col min="14073" max="14073" width="6.109375" style="2" customWidth="1"/>
    <col min="14074" max="14076" width="11.77734375" style="2" customWidth="1"/>
    <col min="14077" max="14078" width="9.77734375" style="2" customWidth="1"/>
    <col min="14079" max="14079" width="15.109375" style="2" bestFit="1" customWidth="1"/>
    <col min="14080" max="14328" width="8.77734375" style="2"/>
    <col min="14329" max="14329" width="6.109375" style="2" customWidth="1"/>
    <col min="14330" max="14332" width="11.77734375" style="2" customWidth="1"/>
    <col min="14333" max="14334" width="9.77734375" style="2" customWidth="1"/>
    <col min="14335" max="14335" width="15.109375" style="2" bestFit="1" customWidth="1"/>
    <col min="14336" max="14584" width="8.77734375" style="2"/>
    <col min="14585" max="14585" width="6.109375" style="2" customWidth="1"/>
    <col min="14586" max="14588" width="11.77734375" style="2" customWidth="1"/>
    <col min="14589" max="14590" width="9.77734375" style="2" customWidth="1"/>
    <col min="14591" max="14591" width="15.109375" style="2" bestFit="1" customWidth="1"/>
    <col min="14592" max="14840" width="8.77734375" style="2"/>
    <col min="14841" max="14841" width="6.109375" style="2" customWidth="1"/>
    <col min="14842" max="14844" width="11.77734375" style="2" customWidth="1"/>
    <col min="14845" max="14846" width="9.77734375" style="2" customWidth="1"/>
    <col min="14847" max="14847" width="15.109375" style="2" bestFit="1" customWidth="1"/>
    <col min="14848" max="15096" width="8.77734375" style="2"/>
    <col min="15097" max="15097" width="6.109375" style="2" customWidth="1"/>
    <col min="15098" max="15100" width="11.77734375" style="2" customWidth="1"/>
    <col min="15101" max="15102" width="9.77734375" style="2" customWidth="1"/>
    <col min="15103" max="15103" width="15.109375" style="2" bestFit="1" customWidth="1"/>
    <col min="15104" max="15352" width="8.77734375" style="2"/>
    <col min="15353" max="15353" width="6.109375" style="2" customWidth="1"/>
    <col min="15354" max="15356" width="11.77734375" style="2" customWidth="1"/>
    <col min="15357" max="15358" width="9.77734375" style="2" customWidth="1"/>
    <col min="15359" max="15359" width="15.109375" style="2" bestFit="1" customWidth="1"/>
    <col min="15360" max="15608" width="8.77734375" style="2"/>
    <col min="15609" max="15609" width="6.109375" style="2" customWidth="1"/>
    <col min="15610" max="15612" width="11.77734375" style="2" customWidth="1"/>
    <col min="15613" max="15614" width="9.77734375" style="2" customWidth="1"/>
    <col min="15615" max="15615" width="15.109375" style="2" bestFit="1" customWidth="1"/>
    <col min="15616" max="15864" width="8.77734375" style="2"/>
    <col min="15865" max="15865" width="6.109375" style="2" customWidth="1"/>
    <col min="15866" max="15868" width="11.77734375" style="2" customWidth="1"/>
    <col min="15869" max="15870" width="9.77734375" style="2" customWidth="1"/>
    <col min="15871" max="15871" width="15.109375" style="2" bestFit="1" customWidth="1"/>
    <col min="15872" max="16120" width="8.77734375" style="2"/>
    <col min="16121" max="16121" width="6.109375" style="2" customWidth="1"/>
    <col min="16122" max="16124" width="11.77734375" style="2" customWidth="1"/>
    <col min="16125" max="16126" width="9.77734375" style="2" customWidth="1"/>
    <col min="16127" max="16127" width="15.109375" style="2" bestFit="1" customWidth="1"/>
    <col min="16128" max="16384" width="8.77734375" style="2"/>
  </cols>
  <sheetData>
    <row r="1" spans="1:10">
      <c r="A1" s="784" t="s">
        <v>533</v>
      </c>
      <c r="B1" s="784"/>
      <c r="C1" s="784"/>
      <c r="D1" s="784"/>
      <c r="E1" s="784"/>
      <c r="F1" s="784"/>
      <c r="G1" s="784"/>
      <c r="H1" s="784"/>
      <c r="I1" s="784"/>
    </row>
    <row r="2" spans="1:10">
      <c r="A2" s="784" t="s">
        <v>204</v>
      </c>
      <c r="B2" s="784"/>
      <c r="C2" s="784"/>
      <c r="D2" s="784"/>
      <c r="E2" s="784"/>
      <c r="F2" s="784"/>
      <c r="G2" s="784"/>
      <c r="H2" s="784"/>
      <c r="I2" s="784"/>
    </row>
    <row r="3" spans="1:10">
      <c r="A3" s="785" t="str">
        <f>'Act Att-H'!C7</f>
        <v>Cheyenne Light, Fuel &amp; Power</v>
      </c>
      <c r="B3" s="785"/>
      <c r="C3" s="785"/>
      <c r="D3" s="785"/>
      <c r="E3" s="785"/>
      <c r="F3" s="785"/>
      <c r="G3" s="785"/>
      <c r="H3" s="785"/>
      <c r="I3" s="785"/>
    </row>
    <row r="4" spans="1:10" s="216" customFormat="1">
      <c r="I4" s="205" t="s">
        <v>673</v>
      </c>
    </row>
    <row r="5" spans="1:10">
      <c r="A5" s="426"/>
      <c r="B5" s="426"/>
      <c r="C5" s="426"/>
      <c r="D5" s="426"/>
      <c r="E5" s="426"/>
      <c r="F5" s="426"/>
      <c r="G5" s="426"/>
    </row>
    <row r="6" spans="1:10">
      <c r="G6" s="207"/>
    </row>
    <row r="7" spans="1:10">
      <c r="A7" s="425"/>
      <c r="B7" s="425"/>
      <c r="C7" s="186"/>
      <c r="D7" s="186" t="s">
        <v>770</v>
      </c>
      <c r="E7" s="186" t="s">
        <v>771</v>
      </c>
      <c r="G7" s="27"/>
    </row>
    <row r="8" spans="1:10">
      <c r="B8" s="425"/>
      <c r="C8" s="186"/>
      <c r="D8" s="186" t="s">
        <v>636</v>
      </c>
      <c r="E8" s="186" t="s">
        <v>700</v>
      </c>
      <c r="F8" s="223"/>
      <c r="G8" s="27"/>
    </row>
    <row r="9" spans="1:10">
      <c r="A9" s="426" t="s">
        <v>4</v>
      </c>
      <c r="B9" s="186" t="s">
        <v>478</v>
      </c>
      <c r="C9" s="186" t="s">
        <v>769</v>
      </c>
      <c r="D9" s="750">
        <v>44531</v>
      </c>
      <c r="E9" s="750">
        <v>44896</v>
      </c>
      <c r="F9" s="186" t="s">
        <v>768</v>
      </c>
      <c r="G9" s="780" t="s">
        <v>1072</v>
      </c>
      <c r="H9" s="780"/>
      <c r="I9" s="186" t="s">
        <v>7</v>
      </c>
      <c r="J9" s="186" t="s">
        <v>1169</v>
      </c>
    </row>
    <row r="10" spans="1:10" ht="13.5" thickBot="1">
      <c r="A10" s="428" t="s">
        <v>6</v>
      </c>
      <c r="B10" s="427" t="s">
        <v>157</v>
      </c>
      <c r="C10" s="427" t="s">
        <v>158</v>
      </c>
      <c r="D10" s="427" t="s">
        <v>159</v>
      </c>
      <c r="E10" s="427" t="s">
        <v>160</v>
      </c>
      <c r="F10" s="427" t="s">
        <v>161</v>
      </c>
      <c r="G10" s="723" t="s">
        <v>715</v>
      </c>
      <c r="H10" s="723" t="s">
        <v>163</v>
      </c>
      <c r="I10" s="723" t="s">
        <v>164</v>
      </c>
      <c r="J10" s="723" t="s">
        <v>194</v>
      </c>
    </row>
    <row r="11" spans="1:10">
      <c r="A11" s="206">
        <v>1</v>
      </c>
      <c r="G11" s="27"/>
    </row>
    <row r="12" spans="1:10" ht="15" customHeight="1">
      <c r="A12" s="206">
        <f t="shared" ref="A12:A15" si="0">+A11+1</f>
        <v>2</v>
      </c>
      <c r="B12" s="423" t="s">
        <v>133</v>
      </c>
      <c r="C12" s="207" t="s">
        <v>777</v>
      </c>
      <c r="D12" s="424">
        <v>0</v>
      </c>
      <c r="E12" s="424">
        <v>0</v>
      </c>
      <c r="F12" s="208">
        <f>(D12+E12)/2</f>
        <v>0</v>
      </c>
      <c r="G12" s="27"/>
    </row>
    <row r="13" spans="1:10" ht="15" customHeight="1">
      <c r="A13" s="206">
        <f t="shared" si="0"/>
        <v>3</v>
      </c>
      <c r="B13" s="423" t="s">
        <v>134</v>
      </c>
      <c r="C13" s="207" t="s">
        <v>774</v>
      </c>
      <c r="D13" s="424">
        <v>-67847487.618393347</v>
      </c>
      <c r="E13" s="424">
        <v>-74674604.139379382</v>
      </c>
      <c r="F13" s="208">
        <f>(D13+E13)/2</f>
        <v>-71261045.878886372</v>
      </c>
      <c r="G13" s="27"/>
      <c r="I13" s="582"/>
    </row>
    <row r="14" spans="1:10" ht="15" customHeight="1">
      <c r="A14" s="206">
        <f t="shared" si="0"/>
        <v>4</v>
      </c>
      <c r="B14" s="423" t="s">
        <v>135</v>
      </c>
      <c r="C14" s="207" t="s">
        <v>775</v>
      </c>
      <c r="D14" s="424">
        <v>-5119768</v>
      </c>
      <c r="E14" s="424">
        <v>-2910131</v>
      </c>
      <c r="F14" s="208">
        <f>(D14+E14)/2</f>
        <v>-4014949.5</v>
      </c>
      <c r="G14" s="27"/>
    </row>
    <row r="15" spans="1:10" ht="15" customHeight="1">
      <c r="A15" s="206">
        <f t="shared" si="0"/>
        <v>5</v>
      </c>
      <c r="B15" s="423" t="s">
        <v>136</v>
      </c>
      <c r="C15" s="207" t="s">
        <v>776</v>
      </c>
      <c r="D15" s="424">
        <v>16680632</v>
      </c>
      <c r="E15" s="424">
        <v>25144204</v>
      </c>
      <c r="F15" s="208">
        <f>(D15+E15)/2</f>
        <v>20912418</v>
      </c>
      <c r="G15" s="27"/>
      <c r="J15" s="583"/>
    </row>
    <row r="16" spans="1:10">
      <c r="A16" s="206">
        <v>6</v>
      </c>
      <c r="J16" s="583"/>
    </row>
    <row r="17" spans="1:10">
      <c r="A17" s="206">
        <v>7</v>
      </c>
      <c r="B17" s="722" t="s">
        <v>1086</v>
      </c>
      <c r="C17" s="208"/>
      <c r="D17" s="59"/>
      <c r="E17" s="59"/>
      <c r="F17" s="59"/>
      <c r="J17" s="583"/>
    </row>
    <row r="18" spans="1:10">
      <c r="A18" s="206">
        <v>8</v>
      </c>
      <c r="B18" s="655" t="s">
        <v>998</v>
      </c>
      <c r="C18" s="208"/>
      <c r="D18" s="59"/>
      <c r="E18" s="59"/>
      <c r="F18" s="59"/>
      <c r="J18" s="583"/>
    </row>
    <row r="19" spans="1:10">
      <c r="A19" s="206">
        <f>A18+1</f>
        <v>9</v>
      </c>
      <c r="B19" s="423" t="s">
        <v>1021</v>
      </c>
      <c r="C19" s="207" t="s">
        <v>1002</v>
      </c>
      <c r="D19" s="424">
        <v>1583433</v>
      </c>
      <c r="E19" s="424">
        <v>1536169</v>
      </c>
      <c r="F19" s="208">
        <f t="shared" ref="F19:F21" si="1">(D19+E19)/2</f>
        <v>1559801</v>
      </c>
      <c r="J19" s="583"/>
    </row>
    <row r="20" spans="1:10">
      <c r="A20" s="206">
        <f t="shared" ref="A20:A34" si="2">A19+1</f>
        <v>10</v>
      </c>
      <c r="B20" s="423" t="s">
        <v>1068</v>
      </c>
      <c r="C20" s="207" t="s">
        <v>1003</v>
      </c>
      <c r="D20" s="424">
        <v>-1806</v>
      </c>
      <c r="E20" s="424">
        <v>-594</v>
      </c>
      <c r="F20" s="208">
        <f t="shared" si="1"/>
        <v>-1200</v>
      </c>
      <c r="J20" s="583"/>
    </row>
    <row r="21" spans="1:10">
      <c r="A21" s="206">
        <f t="shared" si="2"/>
        <v>11</v>
      </c>
      <c r="B21" s="423" t="s">
        <v>1069</v>
      </c>
      <c r="C21" s="207" t="s">
        <v>1004</v>
      </c>
      <c r="D21" s="424">
        <v>-1170141</v>
      </c>
      <c r="E21" s="424">
        <v>-557232</v>
      </c>
      <c r="F21" s="208">
        <f t="shared" si="1"/>
        <v>-863686.5</v>
      </c>
      <c r="J21" s="583"/>
    </row>
    <row r="22" spans="1:10">
      <c r="A22" s="206">
        <f t="shared" si="2"/>
        <v>12</v>
      </c>
      <c r="B22" s="423" t="s">
        <v>388</v>
      </c>
      <c r="C22" s="208"/>
      <c r="D22" s="59"/>
      <c r="E22" s="59"/>
      <c r="F22" s="59">
        <f>SUM(F19:F21)</f>
        <v>694914.5</v>
      </c>
      <c r="J22" s="583"/>
    </row>
    <row r="23" spans="1:10">
      <c r="A23" s="206">
        <f t="shared" si="2"/>
        <v>13</v>
      </c>
      <c r="B23" s="423" t="s">
        <v>1005</v>
      </c>
      <c r="C23" s="208"/>
      <c r="D23" s="59"/>
      <c r="E23" s="59"/>
      <c r="F23" s="656">
        <f>'Act Att-H'!D243</f>
        <v>0.21</v>
      </c>
      <c r="J23" s="583"/>
    </row>
    <row r="24" spans="1:10">
      <c r="A24" s="206">
        <f t="shared" si="2"/>
        <v>14</v>
      </c>
      <c r="B24" s="423" t="s">
        <v>1020</v>
      </c>
      <c r="C24" s="208"/>
      <c r="D24" s="59"/>
      <c r="E24" s="59"/>
      <c r="F24" s="677">
        <f>F22*F23</f>
        <v>145932.04499999998</v>
      </c>
      <c r="J24" s="583"/>
    </row>
    <row r="25" spans="1:10">
      <c r="A25" s="206">
        <f t="shared" si="2"/>
        <v>15</v>
      </c>
      <c r="B25" s="423"/>
      <c r="C25" s="208"/>
      <c r="D25" s="59"/>
      <c r="E25" s="59"/>
      <c r="F25" s="59"/>
      <c r="J25" s="583"/>
    </row>
    <row r="26" spans="1:10" ht="15" customHeight="1">
      <c r="A26" s="206">
        <f t="shared" si="2"/>
        <v>16</v>
      </c>
      <c r="C26" s="222"/>
      <c r="D26" s="222"/>
    </row>
    <row r="27" spans="1:10">
      <c r="A27" s="206">
        <f t="shared" si="2"/>
        <v>17</v>
      </c>
      <c r="B27" s="425" t="s">
        <v>1174</v>
      </c>
      <c r="C27" s="222"/>
      <c r="D27" s="222"/>
    </row>
    <row r="28" spans="1:10">
      <c r="A28" s="206">
        <f t="shared" si="2"/>
        <v>18</v>
      </c>
      <c r="B28" s="2" t="s">
        <v>1178</v>
      </c>
      <c r="C28" s="222" t="s">
        <v>918</v>
      </c>
      <c r="D28" s="424">
        <v>-38202551.859999999</v>
      </c>
      <c r="E28" s="424">
        <v>-37553919</v>
      </c>
      <c r="F28" s="208">
        <f t="shared" ref="F28:F32" si="3">(D28+E28)/2</f>
        <v>-37878235.43</v>
      </c>
      <c r="G28" s="27" t="s">
        <v>1067</v>
      </c>
      <c r="H28" s="675">
        <v>7.9579520269658199E-2</v>
      </c>
      <c r="I28" s="208">
        <f t="shared" ref="I28:I32" si="4">H28*F28</f>
        <v>-3014331.8041805704</v>
      </c>
      <c r="J28" s="208" t="s">
        <v>1166</v>
      </c>
    </row>
    <row r="29" spans="1:10">
      <c r="A29" s="206">
        <f t="shared" si="2"/>
        <v>19</v>
      </c>
      <c r="B29" s="2" t="s">
        <v>1179</v>
      </c>
      <c r="C29" s="222" t="s">
        <v>918</v>
      </c>
      <c r="D29" s="424">
        <v>-1514122.58</v>
      </c>
      <c r="E29" s="424">
        <v>-167605</v>
      </c>
      <c r="F29" s="208">
        <f t="shared" si="3"/>
        <v>-840863.79</v>
      </c>
      <c r="G29" s="27" t="s">
        <v>1067</v>
      </c>
      <c r="H29" s="675">
        <v>7.9579520269658158E-2</v>
      </c>
      <c r="I29" s="208">
        <f t="shared" si="4"/>
        <v>-66915.537020326577</v>
      </c>
      <c r="J29" s="208" t="s">
        <v>1168</v>
      </c>
    </row>
    <row r="30" spans="1:10">
      <c r="A30" s="206">
        <f t="shared" si="2"/>
        <v>20</v>
      </c>
      <c r="B30" s="2" t="s">
        <v>1189</v>
      </c>
      <c r="C30" s="222" t="s">
        <v>918</v>
      </c>
      <c r="D30" s="424">
        <v>1306637.32</v>
      </c>
      <c r="E30" s="424">
        <v>833954.42999999993</v>
      </c>
      <c r="F30" s="208">
        <f t="shared" si="3"/>
        <v>1070295.875</v>
      </c>
      <c r="G30" s="27" t="s">
        <v>1067</v>
      </c>
      <c r="H30" s="675">
        <v>7.9579520269658158E-2</v>
      </c>
      <c r="I30" s="208">
        <f t="shared" si="4"/>
        <v>85173.632279094018</v>
      </c>
      <c r="J30" s="208" t="s">
        <v>1166</v>
      </c>
    </row>
    <row r="31" spans="1:10">
      <c r="A31" s="206">
        <f t="shared" si="2"/>
        <v>21</v>
      </c>
      <c r="B31" s="2" t="s">
        <v>1180</v>
      </c>
      <c r="C31" s="222" t="s">
        <v>918</v>
      </c>
      <c r="D31" s="424">
        <v>632355</v>
      </c>
      <c r="E31" s="424">
        <v>632355</v>
      </c>
      <c r="F31" s="208">
        <f t="shared" si="3"/>
        <v>632355</v>
      </c>
      <c r="G31" s="27" t="s">
        <v>1067</v>
      </c>
      <c r="H31" s="675">
        <v>7.9579520269658158E-2</v>
      </c>
      <c r="I31" s="208">
        <f t="shared" si="4"/>
        <v>50322.507540119681</v>
      </c>
      <c r="J31" s="208" t="s">
        <v>1168</v>
      </c>
    </row>
    <row r="32" spans="1:10">
      <c r="A32" s="206">
        <f t="shared" si="2"/>
        <v>22</v>
      </c>
      <c r="B32" s="423" t="s">
        <v>1066</v>
      </c>
      <c r="C32" s="222" t="s">
        <v>918</v>
      </c>
      <c r="D32" s="424">
        <v>-12513</v>
      </c>
      <c r="E32" s="424">
        <v>-7818.999999999779</v>
      </c>
      <c r="F32" s="208">
        <f t="shared" si="3"/>
        <v>-10165.999999999889</v>
      </c>
      <c r="G32" s="27" t="s">
        <v>1067</v>
      </c>
      <c r="H32" s="675">
        <v>7.9579520269658158E-2</v>
      </c>
      <c r="I32" s="208">
        <f t="shared" si="4"/>
        <v>-809.00540306133598</v>
      </c>
      <c r="J32" s="208" t="s">
        <v>1167</v>
      </c>
    </row>
    <row r="33" spans="1:10">
      <c r="A33" s="206">
        <f t="shared" si="2"/>
        <v>23</v>
      </c>
      <c r="B33" s="423" t="s">
        <v>1130</v>
      </c>
      <c r="C33" s="721"/>
      <c r="D33" s="423"/>
      <c r="E33" s="423"/>
      <c r="F33" s="423"/>
      <c r="G33" s="423"/>
      <c r="H33" s="423"/>
      <c r="I33" s="423"/>
      <c r="J33" s="583"/>
    </row>
    <row r="34" spans="1:10">
      <c r="A34" s="206">
        <f t="shared" si="2"/>
        <v>24</v>
      </c>
      <c r="B34" s="720" t="s">
        <v>1181</v>
      </c>
      <c r="C34" s="208"/>
      <c r="D34" s="59"/>
      <c r="E34" s="59"/>
      <c r="F34" s="676">
        <f>SUM(F28:F33)</f>
        <v>-37026614.344999999</v>
      </c>
      <c r="I34" s="678">
        <f>SUM(I28:I33)</f>
        <v>-2946560.2067847447</v>
      </c>
      <c r="J34" s="583"/>
    </row>
    <row r="35" spans="1:10">
      <c r="A35" s="206"/>
      <c r="B35" s="423"/>
      <c r="C35" s="208"/>
      <c r="D35" s="59"/>
      <c r="E35" s="59"/>
      <c r="F35" s="59"/>
    </row>
    <row r="36" spans="1:10">
      <c r="A36" s="381" t="s">
        <v>205</v>
      </c>
    </row>
    <row r="37" spans="1:10" ht="16.350000000000001" customHeight="1">
      <c r="A37" s="429" t="s">
        <v>79</v>
      </c>
      <c r="B37" s="786" t="s">
        <v>773</v>
      </c>
      <c r="C37" s="786"/>
      <c r="D37" s="786"/>
      <c r="E37" s="786"/>
      <c r="F37" s="786"/>
    </row>
    <row r="38" spans="1:10" ht="16.350000000000001" customHeight="1">
      <c r="A38" s="429" t="s">
        <v>80</v>
      </c>
      <c r="B38" s="786" t="s">
        <v>772</v>
      </c>
      <c r="C38" s="786"/>
      <c r="D38" s="786"/>
      <c r="E38" s="786"/>
      <c r="F38" s="786"/>
    </row>
    <row r="39" spans="1:10" ht="42.6" customHeight="1">
      <c r="A39" s="421" t="s">
        <v>81</v>
      </c>
      <c r="B39" s="759" t="s">
        <v>1100</v>
      </c>
      <c r="C39" s="759"/>
      <c r="D39" s="759"/>
      <c r="E39" s="759"/>
      <c r="F39" s="759"/>
    </row>
    <row r="40" spans="1:10">
      <c r="A40" s="421" t="s">
        <v>82</v>
      </c>
      <c r="B40" s="2" t="s">
        <v>1080</v>
      </c>
      <c r="C40" s="721"/>
      <c r="D40" s="721"/>
    </row>
    <row r="41" spans="1:10">
      <c r="A41" s="421" t="s">
        <v>83</v>
      </c>
      <c r="B41" s="767" t="s">
        <v>1085</v>
      </c>
      <c r="C41" s="767"/>
      <c r="D41" s="767"/>
      <c r="E41" s="767"/>
      <c r="F41" s="767"/>
    </row>
    <row r="42" spans="1:10" ht="78.75" customHeight="1">
      <c r="A42" s="421" t="s">
        <v>84</v>
      </c>
      <c r="B42" s="760" t="s">
        <v>1176</v>
      </c>
      <c r="C42" s="760"/>
      <c r="D42" s="760"/>
      <c r="E42" s="760"/>
      <c r="F42" s="760"/>
    </row>
    <row r="43" spans="1:10" ht="41.65" customHeight="1">
      <c r="A43" s="421" t="s">
        <v>85</v>
      </c>
      <c r="B43" s="760" t="s">
        <v>1177</v>
      </c>
      <c r="C43" s="760"/>
      <c r="D43" s="760"/>
      <c r="E43" s="760"/>
      <c r="F43" s="760"/>
    </row>
    <row r="44" spans="1:10">
      <c r="A44" s="206"/>
    </row>
    <row r="45" spans="1:10">
      <c r="A45" s="27"/>
      <c r="C45" s="222"/>
      <c r="D45" s="222"/>
    </row>
    <row r="46" spans="1:10">
      <c r="A46" s="206"/>
      <c r="C46" s="222"/>
      <c r="D46" s="222"/>
    </row>
    <row r="47" spans="1:10">
      <c r="A47" s="206"/>
      <c r="C47" s="222"/>
      <c r="D47" s="222"/>
    </row>
    <row r="48" spans="1:10">
      <c r="A48" s="206"/>
      <c r="C48" s="222"/>
      <c r="D48" s="222"/>
    </row>
    <row r="49" spans="1:4">
      <c r="A49" s="206"/>
      <c r="C49" s="222"/>
      <c r="D49" s="222"/>
    </row>
    <row r="50" spans="1:4">
      <c r="C50" s="222"/>
      <c r="D50" s="222"/>
    </row>
    <row r="54" spans="1:4" ht="15" customHeight="1"/>
    <row r="58" spans="1:4" ht="15" customHeight="1"/>
    <row r="66" spans="2:7" ht="15" customHeight="1"/>
    <row r="69" spans="2:7" ht="15" customHeight="1"/>
    <row r="79" spans="2:7" ht="12.75" customHeight="1">
      <c r="B79" s="759"/>
      <c r="C79" s="759"/>
      <c r="D79" s="759"/>
      <c r="E79" s="759"/>
      <c r="F79" s="759"/>
      <c r="G79" s="759"/>
    </row>
    <row r="80" spans="2:7">
      <c r="B80" s="759"/>
      <c r="C80" s="759"/>
      <c r="D80" s="759"/>
      <c r="E80" s="759"/>
      <c r="F80" s="759"/>
      <c r="G80" s="759"/>
    </row>
    <row r="81" spans="2:7">
      <c r="B81" s="759"/>
      <c r="C81" s="759"/>
      <c r="D81" s="759"/>
      <c r="E81" s="759"/>
      <c r="F81" s="759"/>
      <c r="G81" s="759"/>
    </row>
    <row r="82" spans="2:7">
      <c r="B82" s="759"/>
      <c r="C82" s="759"/>
      <c r="D82" s="759"/>
      <c r="E82" s="759"/>
      <c r="F82" s="759"/>
      <c r="G82" s="759"/>
    </row>
    <row r="83" spans="2:7">
      <c r="B83" s="759"/>
      <c r="C83" s="759"/>
      <c r="D83" s="759"/>
      <c r="E83" s="759"/>
      <c r="F83" s="759"/>
      <c r="G83" s="759"/>
    </row>
    <row r="84" spans="2:7" ht="12.75" customHeight="1">
      <c r="B84" s="759"/>
      <c r="C84" s="759"/>
      <c r="D84" s="759"/>
      <c r="E84" s="759"/>
      <c r="F84" s="759"/>
      <c r="G84" s="759"/>
    </row>
    <row r="85" spans="2:7" ht="12.75" customHeight="1">
      <c r="B85" s="759"/>
      <c r="C85" s="759"/>
      <c r="D85" s="759"/>
      <c r="E85" s="759"/>
      <c r="F85" s="759"/>
      <c r="G85" s="759"/>
    </row>
    <row r="86" spans="2:7" ht="12.75" customHeight="1">
      <c r="B86" s="759"/>
      <c r="C86" s="759"/>
      <c r="D86" s="759"/>
      <c r="E86" s="759"/>
      <c r="F86" s="759"/>
      <c r="G86" s="759"/>
    </row>
    <row r="87" spans="2:7">
      <c r="B87" s="787"/>
      <c r="C87" s="787"/>
      <c r="D87" s="787"/>
      <c r="E87" s="787"/>
      <c r="F87" s="787"/>
      <c r="G87" s="787"/>
    </row>
    <row r="88" spans="2:7">
      <c r="B88" s="787"/>
      <c r="C88" s="787"/>
      <c r="D88" s="787"/>
      <c r="E88" s="787"/>
      <c r="F88" s="787"/>
      <c r="G88" s="787"/>
    </row>
    <row r="89" spans="2:7">
      <c r="B89" s="787"/>
      <c r="C89" s="787"/>
      <c r="D89" s="787"/>
      <c r="E89" s="787"/>
      <c r="F89" s="787"/>
      <c r="G89" s="787"/>
    </row>
    <row r="90" spans="2:7">
      <c r="B90" s="787"/>
      <c r="C90" s="787"/>
      <c r="D90" s="787"/>
      <c r="E90" s="787"/>
      <c r="F90" s="787"/>
      <c r="G90" s="787"/>
    </row>
    <row r="91" spans="2:7">
      <c r="B91" s="787"/>
      <c r="C91" s="787"/>
      <c r="D91" s="787"/>
      <c r="E91" s="787"/>
      <c r="F91" s="787"/>
      <c r="G91" s="787"/>
    </row>
  </sheetData>
  <mergeCells count="19">
    <mergeCell ref="B84:G84"/>
    <mergeCell ref="B91:G91"/>
    <mergeCell ref="B87:G87"/>
    <mergeCell ref="B85:G85"/>
    <mergeCell ref="B86:G86"/>
    <mergeCell ref="B88:G88"/>
    <mergeCell ref="B89:G89"/>
    <mergeCell ref="B90:G90"/>
    <mergeCell ref="G9:H9"/>
    <mergeCell ref="A1:I1"/>
    <mergeCell ref="A2:I2"/>
    <mergeCell ref="A3:I3"/>
    <mergeCell ref="B79:G83"/>
    <mergeCell ref="B37:F37"/>
    <mergeCell ref="B38:F38"/>
    <mergeCell ref="B39:F39"/>
    <mergeCell ref="B42:F42"/>
    <mergeCell ref="B41:F41"/>
    <mergeCell ref="B43:F43"/>
  </mergeCells>
  <pageMargins left="0.75" right="0.75" top="1" bottom="1" header="0.5" footer="0.5"/>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39997558519241921"/>
  </sheetPr>
  <dimension ref="A1:I127"/>
  <sheetViews>
    <sheetView topLeftCell="A76" workbookViewId="0">
      <selection activeCell="A107" sqref="A107:XFD107"/>
    </sheetView>
  </sheetViews>
  <sheetFormatPr defaultColWidth="8.77734375" defaultRowHeight="12.75"/>
  <cols>
    <col min="1" max="1" width="5.77734375" style="1" customWidth="1"/>
    <col min="2" max="2" width="26.5546875" style="2" customWidth="1"/>
    <col min="3" max="9" width="15.109375" style="2" customWidth="1"/>
    <col min="10" max="16384" width="8.77734375" style="2"/>
  </cols>
  <sheetData>
    <row r="1" spans="1:9">
      <c r="C1" s="3"/>
      <c r="E1" s="445" t="s">
        <v>534</v>
      </c>
      <c r="F1" s="3"/>
      <c r="H1" s="3"/>
      <c r="I1" s="3"/>
    </row>
    <row r="2" spans="1:9">
      <c r="A2" s="5"/>
      <c r="C2" s="3"/>
      <c r="D2" s="3"/>
      <c r="E2" s="13" t="s">
        <v>362</v>
      </c>
      <c r="F2" s="3"/>
      <c r="H2" s="3"/>
      <c r="I2" s="3"/>
    </row>
    <row r="3" spans="1:9">
      <c r="A3" s="5"/>
      <c r="C3" s="3"/>
      <c r="D3" s="3"/>
      <c r="E3" s="446" t="str">
        <f>'Act Att-H'!C7</f>
        <v>Cheyenne Light, Fuel &amp; Power</v>
      </c>
      <c r="F3" s="3"/>
      <c r="H3" s="3"/>
      <c r="I3" s="188" t="s">
        <v>977</v>
      </c>
    </row>
    <row r="4" spans="1:9">
      <c r="A4" s="5"/>
      <c r="C4" s="3"/>
      <c r="D4" s="3"/>
      <c r="E4" s="3"/>
      <c r="F4" s="3"/>
      <c r="G4" s="3"/>
      <c r="H4" s="3"/>
      <c r="I4" s="3"/>
    </row>
    <row r="5" spans="1:9" ht="15" customHeight="1">
      <c r="A5" s="5"/>
      <c r="B5" s="7"/>
      <c r="C5" s="789" t="s">
        <v>935</v>
      </c>
      <c r="D5" s="790"/>
      <c r="E5" s="790"/>
      <c r="F5" s="790"/>
      <c r="G5" s="791"/>
      <c r="H5" s="8" t="s">
        <v>318</v>
      </c>
      <c r="I5" s="8" t="s">
        <v>319</v>
      </c>
    </row>
    <row r="6" spans="1:9">
      <c r="A6" s="5"/>
      <c r="B6" s="7"/>
    </row>
    <row r="7" spans="1:9" s="12" customFormat="1" ht="42" customHeight="1">
      <c r="A7" s="9" t="s">
        <v>320</v>
      </c>
      <c r="B7" s="10" t="s">
        <v>268</v>
      </c>
      <c r="C7" s="10" t="s">
        <v>321</v>
      </c>
      <c r="D7" s="10" t="s">
        <v>21</v>
      </c>
      <c r="E7" s="10" t="s">
        <v>322</v>
      </c>
      <c r="F7" s="10" t="s">
        <v>323</v>
      </c>
      <c r="G7" s="11" t="s">
        <v>324</v>
      </c>
      <c r="H7" s="10" t="s">
        <v>325</v>
      </c>
      <c r="I7" s="10" t="s">
        <v>326</v>
      </c>
    </row>
    <row r="8" spans="1:9" s="16" customFormat="1">
      <c r="A8" s="5"/>
      <c r="B8" s="13" t="s">
        <v>157</v>
      </c>
      <c r="C8" s="13" t="s">
        <v>158</v>
      </c>
      <c r="D8" s="13" t="s">
        <v>159</v>
      </c>
      <c r="E8" s="10" t="s">
        <v>160</v>
      </c>
      <c r="F8" s="10" t="s">
        <v>161</v>
      </c>
      <c r="G8" s="10" t="s">
        <v>162</v>
      </c>
      <c r="H8" s="10" t="s">
        <v>163</v>
      </c>
      <c r="I8" s="14" t="s">
        <v>164</v>
      </c>
    </row>
    <row r="9" spans="1:9" s="16" customFormat="1" ht="29.25" customHeight="1">
      <c r="A9" s="5"/>
      <c r="B9" s="17" t="s">
        <v>328</v>
      </c>
      <c r="C9" s="13" t="s">
        <v>111</v>
      </c>
      <c r="D9" s="13" t="s">
        <v>108</v>
      </c>
      <c r="E9" s="13" t="s">
        <v>109</v>
      </c>
      <c r="F9" s="10" t="s">
        <v>112</v>
      </c>
      <c r="G9" s="13" t="s">
        <v>1139</v>
      </c>
      <c r="H9" s="13" t="s">
        <v>329</v>
      </c>
      <c r="I9" s="13" t="s">
        <v>330</v>
      </c>
    </row>
    <row r="10" spans="1:9">
      <c r="A10" s="5">
        <v>1</v>
      </c>
      <c r="B10" s="18" t="s">
        <v>332</v>
      </c>
      <c r="C10" s="19">
        <v>346878792.27999997</v>
      </c>
      <c r="D10" s="19">
        <v>67742673.150000006</v>
      </c>
      <c r="E10" s="19">
        <v>235197196.87000009</v>
      </c>
      <c r="F10" s="19">
        <v>20807560.02</v>
      </c>
      <c r="G10" s="19">
        <v>12388521</v>
      </c>
      <c r="H10" s="754">
        <v>0</v>
      </c>
      <c r="I10" s="19">
        <v>318000</v>
      </c>
    </row>
    <row r="11" spans="1:9">
      <c r="A11" s="5">
        <v>2</v>
      </c>
      <c r="B11" s="18" t="s">
        <v>165</v>
      </c>
      <c r="C11" s="19">
        <v>346863185.77000004</v>
      </c>
      <c r="D11" s="19">
        <v>67806096.25</v>
      </c>
      <c r="E11" s="19">
        <v>236904287.2700001</v>
      </c>
      <c r="F11" s="19">
        <v>20811652.609999999</v>
      </c>
      <c r="G11" s="19">
        <v>12569865</v>
      </c>
      <c r="H11" s="754">
        <v>0</v>
      </c>
      <c r="I11" s="19">
        <v>318000</v>
      </c>
    </row>
    <row r="12" spans="1:9">
      <c r="A12" s="5">
        <v>3</v>
      </c>
      <c r="B12" s="3" t="s">
        <v>166</v>
      </c>
      <c r="C12" s="19">
        <v>347011980.93000001</v>
      </c>
      <c r="D12" s="19">
        <v>73894843.739999995</v>
      </c>
      <c r="E12" s="19">
        <v>244778255.63000011</v>
      </c>
      <c r="F12" s="19">
        <v>20863562.460000001</v>
      </c>
      <c r="G12" s="19">
        <v>12476622</v>
      </c>
      <c r="H12" s="754">
        <v>0</v>
      </c>
      <c r="I12" s="19">
        <v>318000</v>
      </c>
    </row>
    <row r="13" spans="1:9">
      <c r="A13" s="5">
        <v>4</v>
      </c>
      <c r="B13" s="3" t="s">
        <v>333</v>
      </c>
      <c r="C13" s="19">
        <v>347074120.46000004</v>
      </c>
      <c r="D13" s="19">
        <v>73910348.779999986</v>
      </c>
      <c r="E13" s="19">
        <v>245822813.93999997</v>
      </c>
      <c r="F13" s="19">
        <v>20906288.090000004</v>
      </c>
      <c r="G13" s="19">
        <v>12219117</v>
      </c>
      <c r="H13" s="754">
        <v>0</v>
      </c>
      <c r="I13" s="19">
        <v>318000</v>
      </c>
    </row>
    <row r="14" spans="1:9">
      <c r="A14" s="5">
        <v>5</v>
      </c>
      <c r="B14" s="3" t="s">
        <v>167</v>
      </c>
      <c r="C14" s="19">
        <v>347637719.64000005</v>
      </c>
      <c r="D14" s="19">
        <v>73928247.979999989</v>
      </c>
      <c r="E14" s="19">
        <v>247528948.85999995</v>
      </c>
      <c r="F14" s="19">
        <v>20907312.68</v>
      </c>
      <c r="G14" s="19">
        <v>12184980</v>
      </c>
      <c r="H14" s="754">
        <v>0</v>
      </c>
      <c r="I14" s="19">
        <v>318000</v>
      </c>
    </row>
    <row r="15" spans="1:9">
      <c r="A15" s="5">
        <v>6</v>
      </c>
      <c r="B15" s="3" t="s">
        <v>168</v>
      </c>
      <c r="C15" s="19">
        <v>348138723.63999999</v>
      </c>
      <c r="D15" s="19">
        <v>73967272.950000018</v>
      </c>
      <c r="E15" s="19">
        <v>248813991.38000003</v>
      </c>
      <c r="F15" s="19">
        <v>20993987.029999997</v>
      </c>
      <c r="G15" s="19">
        <v>12206997</v>
      </c>
      <c r="H15" s="754">
        <v>0</v>
      </c>
      <c r="I15" s="19">
        <v>318000</v>
      </c>
    </row>
    <row r="16" spans="1:9">
      <c r="A16" s="5">
        <v>7</v>
      </c>
      <c r="B16" s="3" t="s">
        <v>169</v>
      </c>
      <c r="C16" s="19">
        <v>347677752.95000005</v>
      </c>
      <c r="D16" s="19">
        <v>78284859.159999996</v>
      </c>
      <c r="E16" s="19">
        <v>248675891.57999998</v>
      </c>
      <c r="F16" s="19">
        <v>21450327.52</v>
      </c>
      <c r="G16" s="19">
        <v>12287938</v>
      </c>
      <c r="H16" s="754">
        <v>0</v>
      </c>
      <c r="I16" s="19">
        <v>318000</v>
      </c>
    </row>
    <row r="17" spans="1:9">
      <c r="A17" s="5">
        <v>8</v>
      </c>
      <c r="B17" s="3" t="s">
        <v>170</v>
      </c>
      <c r="C17" s="19">
        <v>347705689.24999994</v>
      </c>
      <c r="D17" s="19">
        <v>100361147.26000001</v>
      </c>
      <c r="E17" s="19">
        <v>258850884.97000003</v>
      </c>
      <c r="F17" s="19">
        <v>21746615.969999999</v>
      </c>
      <c r="G17" s="19">
        <v>12698624</v>
      </c>
      <c r="H17" s="754">
        <v>0</v>
      </c>
      <c r="I17" s="19">
        <v>318000</v>
      </c>
    </row>
    <row r="18" spans="1:9">
      <c r="A18" s="5">
        <v>9</v>
      </c>
      <c r="B18" s="3" t="s">
        <v>334</v>
      </c>
      <c r="C18" s="19">
        <v>348195324.20999992</v>
      </c>
      <c r="D18" s="19">
        <v>100409532.84999999</v>
      </c>
      <c r="E18" s="19">
        <v>260581088.37000003</v>
      </c>
      <c r="F18" s="19">
        <v>21825541.530000001</v>
      </c>
      <c r="G18" s="19">
        <v>12842625</v>
      </c>
      <c r="H18" s="754">
        <v>0</v>
      </c>
      <c r="I18" s="19">
        <v>318000</v>
      </c>
    </row>
    <row r="19" spans="1:9">
      <c r="A19" s="5">
        <v>10</v>
      </c>
      <c r="B19" s="3" t="s">
        <v>171</v>
      </c>
      <c r="C19" s="19">
        <v>348495118.65999985</v>
      </c>
      <c r="D19" s="19">
        <v>100519932.76000001</v>
      </c>
      <c r="E19" s="19">
        <v>260724112.57000002</v>
      </c>
      <c r="F19" s="19">
        <v>20800082.469999999</v>
      </c>
      <c r="G19" s="19">
        <v>12866529</v>
      </c>
      <c r="H19" s="754">
        <v>0</v>
      </c>
      <c r="I19" s="19">
        <v>318000</v>
      </c>
    </row>
    <row r="20" spans="1:9">
      <c r="A20" s="5">
        <v>11</v>
      </c>
      <c r="B20" s="3" t="s">
        <v>172</v>
      </c>
      <c r="C20" s="19">
        <v>348990449.73999989</v>
      </c>
      <c r="D20" s="19">
        <v>100785744.85000002</v>
      </c>
      <c r="E20" s="19">
        <v>262316328.63000005</v>
      </c>
      <c r="F20" s="19">
        <v>20947619.059999999</v>
      </c>
      <c r="G20" s="19">
        <v>12692644</v>
      </c>
      <c r="H20" s="754">
        <v>0</v>
      </c>
      <c r="I20" s="19">
        <v>318000</v>
      </c>
    </row>
    <row r="21" spans="1:9">
      <c r="A21" s="5">
        <v>12</v>
      </c>
      <c r="B21" s="3" t="s">
        <v>173</v>
      </c>
      <c r="C21" s="19">
        <v>351632593.23000002</v>
      </c>
      <c r="D21" s="19">
        <v>109437412.95999999</v>
      </c>
      <c r="E21" s="19">
        <v>263937620.92000002</v>
      </c>
      <c r="F21" s="19">
        <v>21012861.799999997</v>
      </c>
      <c r="G21" s="19">
        <v>12728088</v>
      </c>
      <c r="H21" s="754">
        <v>0</v>
      </c>
      <c r="I21" s="19">
        <v>318000</v>
      </c>
    </row>
    <row r="22" spans="1:9">
      <c r="A22" s="5">
        <v>13</v>
      </c>
      <c r="B22" s="3" t="s">
        <v>335</v>
      </c>
      <c r="C22" s="19">
        <v>351343661.71000004</v>
      </c>
      <c r="D22" s="19">
        <v>109401329.69000001</v>
      </c>
      <c r="E22" s="19">
        <v>264589917.11000004</v>
      </c>
      <c r="F22" s="19">
        <v>21617201.75</v>
      </c>
      <c r="G22" s="19">
        <v>12585516</v>
      </c>
      <c r="H22" s="754">
        <v>0</v>
      </c>
      <c r="I22" s="19">
        <v>318000</v>
      </c>
    </row>
    <row r="23" spans="1:9" ht="13.5" thickBot="1">
      <c r="A23" s="5">
        <v>14</v>
      </c>
      <c r="B23" s="20" t="s">
        <v>336</v>
      </c>
      <c r="C23" s="21">
        <f>SUM(C10:C22)/13</f>
        <v>348280393.26692301</v>
      </c>
      <c r="D23" s="21">
        <f>SUM(D10:D22)/13</f>
        <v>86957649.413846165</v>
      </c>
      <c r="E23" s="21">
        <f t="shared" ref="E23:I23" si="0">SUM(E10:E22)/13</f>
        <v>252209333.70000008</v>
      </c>
      <c r="F23" s="21">
        <f t="shared" si="0"/>
        <v>21130047.153076924</v>
      </c>
      <c r="G23" s="21">
        <f t="shared" si="0"/>
        <v>12519082</v>
      </c>
      <c r="H23" s="21">
        <f t="shared" si="0"/>
        <v>0</v>
      </c>
      <c r="I23" s="21">
        <f t="shared" si="0"/>
        <v>318000</v>
      </c>
    </row>
    <row r="24" spans="1:9" ht="13.5" thickTop="1">
      <c r="A24" s="5"/>
      <c r="B24" s="3"/>
      <c r="C24" s="22"/>
      <c r="D24" s="23"/>
      <c r="E24" s="23"/>
      <c r="F24" s="23"/>
      <c r="G24" s="22"/>
      <c r="H24" s="22"/>
      <c r="I24" s="22"/>
    </row>
    <row r="25" spans="1:9">
      <c r="A25" s="5"/>
      <c r="B25" s="3"/>
      <c r="C25" s="22"/>
      <c r="D25" s="23"/>
      <c r="E25" s="23"/>
      <c r="F25" s="23"/>
      <c r="G25" s="22"/>
      <c r="H25" s="22"/>
      <c r="I25" s="22"/>
    </row>
    <row r="26" spans="1:9">
      <c r="A26" s="5"/>
      <c r="B26" s="3"/>
      <c r="C26" s="22"/>
      <c r="D26" s="23"/>
      <c r="E26" s="23"/>
      <c r="F26" s="23"/>
      <c r="G26" s="22"/>
      <c r="H26" s="22"/>
      <c r="I26" s="22"/>
    </row>
    <row r="27" spans="1:9">
      <c r="A27" s="5"/>
      <c r="B27" s="3"/>
      <c r="C27" s="3"/>
    </row>
    <row r="28" spans="1:9">
      <c r="A28" s="5"/>
      <c r="B28" s="3"/>
      <c r="C28" s="605"/>
      <c r="D28" s="604"/>
      <c r="E28" s="792" t="s">
        <v>936</v>
      </c>
      <c r="F28" s="793"/>
      <c r="G28" s="793"/>
      <c r="H28" s="793"/>
      <c r="I28" s="794"/>
    </row>
    <row r="29" spans="1:9">
      <c r="A29" s="5"/>
      <c r="B29" s="3"/>
    </row>
    <row r="30" spans="1:9">
      <c r="A30" s="9" t="s">
        <v>320</v>
      </c>
      <c r="B30" s="10" t="s">
        <v>268</v>
      </c>
      <c r="C30" s="606" t="s">
        <v>980</v>
      </c>
      <c r="D30" s="606" t="s">
        <v>980</v>
      </c>
      <c r="E30" s="10" t="s">
        <v>321</v>
      </c>
      <c r="F30" s="10" t="s">
        <v>21</v>
      </c>
      <c r="G30" s="10" t="s">
        <v>322</v>
      </c>
      <c r="H30" s="10" t="s">
        <v>323</v>
      </c>
      <c r="I30" s="10" t="s">
        <v>324</v>
      </c>
    </row>
    <row r="31" spans="1:9">
      <c r="A31" s="5"/>
      <c r="B31" s="13" t="s">
        <v>157</v>
      </c>
      <c r="C31" s="341" t="s">
        <v>158</v>
      </c>
      <c r="D31" s="13" t="s">
        <v>159</v>
      </c>
      <c r="E31" s="10" t="s">
        <v>160</v>
      </c>
      <c r="F31" s="10" t="s">
        <v>161</v>
      </c>
      <c r="G31" s="10" t="s">
        <v>162</v>
      </c>
      <c r="H31" s="10" t="s">
        <v>163</v>
      </c>
      <c r="I31" s="14" t="s">
        <v>164</v>
      </c>
    </row>
    <row r="32" spans="1:9">
      <c r="A32" s="5"/>
      <c r="B32" s="17" t="s">
        <v>328</v>
      </c>
      <c r="C32" s="10"/>
      <c r="D32" s="13"/>
      <c r="E32" s="13" t="s">
        <v>103</v>
      </c>
      <c r="F32" s="13" t="s">
        <v>104</v>
      </c>
      <c r="G32" s="13" t="s">
        <v>105</v>
      </c>
      <c r="H32" s="10" t="s">
        <v>331</v>
      </c>
      <c r="I32" s="13" t="s">
        <v>1140</v>
      </c>
    </row>
    <row r="33" spans="1:9">
      <c r="A33" s="5">
        <v>15</v>
      </c>
      <c r="B33" s="18" t="s">
        <v>332</v>
      </c>
      <c r="C33" s="10"/>
      <c r="D33" s="10"/>
      <c r="E33" s="19">
        <v>66857439.510141402</v>
      </c>
      <c r="F33" s="19">
        <v>6876817.0681925677</v>
      </c>
      <c r="G33" s="19">
        <v>66076381.585669987</v>
      </c>
      <c r="H33" s="19">
        <v>5718658.591202464</v>
      </c>
      <c r="I33" s="19">
        <v>1581046</v>
      </c>
    </row>
    <row r="34" spans="1:9">
      <c r="A34" s="5">
        <v>16</v>
      </c>
      <c r="B34" s="18" t="s">
        <v>165</v>
      </c>
      <c r="C34" s="10"/>
      <c r="D34" s="10"/>
      <c r="E34" s="19">
        <v>67651473.160000011</v>
      </c>
      <c r="F34" s="19">
        <v>7025436.1415954996</v>
      </c>
      <c r="G34" s="19">
        <v>66910777.330000021</v>
      </c>
      <c r="H34" s="19">
        <v>5805336.4600000009</v>
      </c>
      <c r="I34" s="19">
        <v>1756308</v>
      </c>
    </row>
    <row r="35" spans="1:9">
      <c r="A35" s="5">
        <v>17</v>
      </c>
      <c r="B35" s="3" t="s">
        <v>166</v>
      </c>
      <c r="C35" s="10"/>
      <c r="D35" s="10"/>
      <c r="E35" s="19">
        <v>68437299.000000015</v>
      </c>
      <c r="F35" s="19">
        <v>7131147.7778219199</v>
      </c>
      <c r="G35" s="19">
        <v>67329800.680000007</v>
      </c>
      <c r="H35" s="19">
        <v>5822257.0800000001</v>
      </c>
      <c r="I35" s="19">
        <v>1928609</v>
      </c>
    </row>
    <row r="36" spans="1:9">
      <c r="A36" s="5">
        <v>18</v>
      </c>
      <c r="B36" s="3" t="s">
        <v>333</v>
      </c>
      <c r="C36" s="10"/>
      <c r="D36" s="10"/>
      <c r="E36" s="19">
        <v>68666248.989999995</v>
      </c>
      <c r="F36" s="19">
        <v>7282439.0463028364</v>
      </c>
      <c r="G36" s="19">
        <v>67497241.260000035</v>
      </c>
      <c r="H36" s="19">
        <v>5717294.8300000001</v>
      </c>
      <c r="I36" s="19">
        <v>2074826</v>
      </c>
    </row>
    <row r="37" spans="1:9">
      <c r="A37" s="5">
        <v>19</v>
      </c>
      <c r="B37" s="3" t="s">
        <v>167</v>
      </c>
      <c r="C37" s="10"/>
      <c r="D37" s="10"/>
      <c r="E37" s="19">
        <v>70011482.940000027</v>
      </c>
      <c r="F37" s="19">
        <v>7419639.3721967507</v>
      </c>
      <c r="G37" s="19">
        <v>68277474.859999985</v>
      </c>
      <c r="H37" s="19">
        <v>5824295.3399999999</v>
      </c>
      <c r="I37" s="19">
        <v>2218624</v>
      </c>
    </row>
    <row r="38" spans="1:9">
      <c r="A38" s="5">
        <v>20</v>
      </c>
      <c r="B38" s="3" t="s">
        <v>168</v>
      </c>
      <c r="C38" s="10"/>
      <c r="D38" s="10"/>
      <c r="E38" s="19">
        <v>70799419.319999993</v>
      </c>
      <c r="F38" s="19">
        <v>7551073.9938760018</v>
      </c>
      <c r="G38" s="19">
        <v>68763727.179999992</v>
      </c>
      <c r="H38" s="19">
        <v>5705095.2000000011</v>
      </c>
      <c r="I38" s="19">
        <v>2298533</v>
      </c>
    </row>
    <row r="39" spans="1:9">
      <c r="A39" s="5">
        <v>21</v>
      </c>
      <c r="B39" s="3" t="s">
        <v>169</v>
      </c>
      <c r="C39" s="10"/>
      <c r="D39" s="10"/>
      <c r="E39" s="19">
        <v>71030170.060000017</v>
      </c>
      <c r="F39" s="19">
        <v>7692431.3671379201</v>
      </c>
      <c r="G39" s="19">
        <v>68919401.689999998</v>
      </c>
      <c r="H39" s="19">
        <v>5835735.9000000004</v>
      </c>
      <c r="I39" s="19">
        <v>2438101</v>
      </c>
    </row>
    <row r="40" spans="1:9">
      <c r="A40" s="5">
        <v>22</v>
      </c>
      <c r="B40" s="3" t="s">
        <v>170</v>
      </c>
      <c r="C40" s="10"/>
      <c r="D40" s="10"/>
      <c r="E40" s="19">
        <v>71756905.689999998</v>
      </c>
      <c r="F40" s="19">
        <v>7849967.6599395834</v>
      </c>
      <c r="G40" s="19">
        <v>69569068.649999991</v>
      </c>
      <c r="H40" s="19">
        <v>5979246.0299999993</v>
      </c>
      <c r="I40" s="19">
        <v>2485460</v>
      </c>
    </row>
    <row r="41" spans="1:9">
      <c r="A41" s="5">
        <v>23</v>
      </c>
      <c r="B41" s="3" t="s">
        <v>334</v>
      </c>
      <c r="C41" s="10"/>
      <c r="D41" s="10"/>
      <c r="E41" s="19">
        <v>72545046.349999994</v>
      </c>
      <c r="F41" s="19">
        <v>8027627.8896344164</v>
      </c>
      <c r="G41" s="19">
        <v>70145053.609999999</v>
      </c>
      <c r="H41" s="19">
        <v>6017084.5600000005</v>
      </c>
      <c r="I41" s="19">
        <v>2632830</v>
      </c>
    </row>
    <row r="42" spans="1:9">
      <c r="A42" s="5">
        <v>24</v>
      </c>
      <c r="B42" s="3" t="s">
        <v>171</v>
      </c>
      <c r="C42" s="10"/>
      <c r="D42" s="10"/>
      <c r="E42" s="19">
        <v>72892023.939999998</v>
      </c>
      <c r="F42" s="19">
        <v>8188406.9177860869</v>
      </c>
      <c r="G42" s="19">
        <v>70185112.330000028</v>
      </c>
      <c r="H42" s="19">
        <v>5100568.4700000007</v>
      </c>
      <c r="I42" s="19">
        <v>2780952</v>
      </c>
    </row>
    <row r="43" spans="1:9">
      <c r="A43" s="5">
        <v>25</v>
      </c>
      <c r="B43" s="3" t="s">
        <v>172</v>
      </c>
      <c r="C43" s="10"/>
      <c r="D43" s="10"/>
      <c r="E43" s="19">
        <v>74124554.219999999</v>
      </c>
      <c r="F43" s="19">
        <v>8383648.5399315879</v>
      </c>
      <c r="G43" s="19">
        <v>70935438.37000002</v>
      </c>
      <c r="H43" s="19">
        <v>5160883.74</v>
      </c>
      <c r="I43" s="19">
        <v>3389659</v>
      </c>
    </row>
    <row r="44" spans="1:9">
      <c r="A44" s="5">
        <v>26</v>
      </c>
      <c r="B44" s="3" t="s">
        <v>173</v>
      </c>
      <c r="C44" s="10"/>
      <c r="D44" s="10"/>
      <c r="E44" s="19">
        <v>74917792.230000004</v>
      </c>
      <c r="F44" s="19">
        <v>8549760.8559230864</v>
      </c>
      <c r="G44" s="19">
        <v>71034732.799999997</v>
      </c>
      <c r="H44" s="19">
        <v>5278843.3900000006</v>
      </c>
      <c r="I44" s="19">
        <v>3538250</v>
      </c>
    </row>
    <row r="45" spans="1:9">
      <c r="A45" s="5">
        <v>27</v>
      </c>
      <c r="B45" s="3" t="s">
        <v>335</v>
      </c>
      <c r="C45" s="10"/>
      <c r="D45" s="10"/>
      <c r="E45" s="19">
        <v>73192958.169999987</v>
      </c>
      <c r="F45" s="19">
        <v>8646509.5184732489</v>
      </c>
      <c r="G45" s="19">
        <v>70555577.889999986</v>
      </c>
      <c r="H45" s="19">
        <v>5259787.62</v>
      </c>
      <c r="I45" s="19">
        <v>3191960</v>
      </c>
    </row>
    <row r="46" spans="1:9" ht="13.5" thickBot="1">
      <c r="A46" s="5">
        <v>28</v>
      </c>
      <c r="B46" s="20" t="s">
        <v>336</v>
      </c>
      <c r="C46" s="21">
        <f t="shared" ref="C46:I46" si="1">SUM(C33:C45)/13</f>
        <v>0</v>
      </c>
      <c r="D46" s="21">
        <f t="shared" si="1"/>
        <v>0</v>
      </c>
      <c r="E46" s="21">
        <f t="shared" si="1"/>
        <v>70990985.660010874</v>
      </c>
      <c r="F46" s="21">
        <f t="shared" si="1"/>
        <v>7740377.3960624235</v>
      </c>
      <c r="G46" s="21">
        <f t="shared" si="1"/>
        <v>68938445.248897687</v>
      </c>
      <c r="H46" s="21">
        <f t="shared" si="1"/>
        <v>5632699.016246344</v>
      </c>
      <c r="I46" s="21">
        <f t="shared" si="1"/>
        <v>2485781.3846153845</v>
      </c>
    </row>
    <row r="47" spans="1:9" ht="13.5" thickTop="1">
      <c r="A47" s="5"/>
      <c r="B47" s="3"/>
    </row>
    <row r="48" spans="1:9">
      <c r="A48" s="5"/>
      <c r="B48" s="3"/>
      <c r="C48" s="22"/>
      <c r="D48" s="23"/>
      <c r="E48" s="23"/>
      <c r="F48" s="23"/>
      <c r="G48" s="22"/>
      <c r="H48" s="22"/>
      <c r="I48" s="22"/>
    </row>
    <row r="49" spans="1:9">
      <c r="C49" s="3"/>
      <c r="E49" s="445" t="str">
        <f>E1</f>
        <v>Worksheet A4</v>
      </c>
      <c r="F49" s="3"/>
      <c r="H49" s="3"/>
      <c r="I49" s="3"/>
    </row>
    <row r="50" spans="1:9">
      <c r="A50" s="5"/>
      <c r="C50" s="3"/>
      <c r="D50" s="3"/>
      <c r="E50" s="13" t="str">
        <f>E2</f>
        <v>Rate Base Worksheet</v>
      </c>
      <c r="F50" s="3"/>
      <c r="H50" s="3"/>
      <c r="I50" s="3"/>
    </row>
    <row r="51" spans="1:9">
      <c r="A51" s="5"/>
      <c r="C51" s="3"/>
      <c r="E51" s="224" t="str">
        <f>E3</f>
        <v>Cheyenne Light, Fuel &amp; Power</v>
      </c>
      <c r="F51" s="3"/>
      <c r="H51" s="3"/>
      <c r="I51" s="188" t="s">
        <v>978</v>
      </c>
    </row>
    <row r="52" spans="1:9">
      <c r="A52" s="5"/>
      <c r="B52" s="3"/>
      <c r="C52" s="22"/>
      <c r="D52" s="23"/>
      <c r="E52" s="23"/>
      <c r="F52" s="23"/>
      <c r="G52" s="22"/>
      <c r="H52" s="22"/>
      <c r="I52" s="22"/>
    </row>
    <row r="53" spans="1:9">
      <c r="A53" s="5"/>
      <c r="B53" s="24"/>
      <c r="C53" s="792" t="s">
        <v>937</v>
      </c>
      <c r="D53" s="793"/>
      <c r="E53" s="793"/>
      <c r="F53" s="793"/>
      <c r="G53" s="793"/>
      <c r="H53" s="793"/>
      <c r="I53" s="794"/>
    </row>
    <row r="54" spans="1:9" ht="102" customHeight="1">
      <c r="A54" s="5" t="s">
        <v>320</v>
      </c>
      <c r="B54" s="13" t="s">
        <v>268</v>
      </c>
      <c r="C54" s="14" t="s">
        <v>337</v>
      </c>
      <c r="D54" s="14" t="s">
        <v>338</v>
      </c>
      <c r="E54" s="14" t="s">
        <v>339</v>
      </c>
      <c r="F54" s="14" t="s">
        <v>340</v>
      </c>
      <c r="G54" s="14" t="s">
        <v>341</v>
      </c>
      <c r="H54" s="14" t="s">
        <v>342</v>
      </c>
      <c r="I54" s="14" t="s">
        <v>1129</v>
      </c>
    </row>
    <row r="55" spans="1:9" s="16" customFormat="1">
      <c r="A55" s="5"/>
      <c r="B55" s="13" t="s">
        <v>157</v>
      </c>
      <c r="C55" s="14" t="s">
        <v>158</v>
      </c>
      <c r="D55" s="14" t="s">
        <v>159</v>
      </c>
      <c r="E55" s="14" t="s">
        <v>160</v>
      </c>
      <c r="F55" s="14" t="s">
        <v>161</v>
      </c>
      <c r="G55" s="14" t="s">
        <v>162</v>
      </c>
      <c r="H55" s="14" t="s">
        <v>163</v>
      </c>
      <c r="I55" s="14" t="s">
        <v>164</v>
      </c>
    </row>
    <row r="56" spans="1:9" s="16" customFormat="1">
      <c r="A56" s="5"/>
      <c r="B56" s="17" t="s">
        <v>328</v>
      </c>
      <c r="C56" s="10" t="s">
        <v>343</v>
      </c>
      <c r="D56" s="14" t="s">
        <v>344</v>
      </c>
      <c r="E56" s="14" t="s">
        <v>1132</v>
      </c>
      <c r="F56" s="14" t="s">
        <v>1132</v>
      </c>
      <c r="G56" s="14" t="s">
        <v>1132</v>
      </c>
      <c r="H56" s="14" t="s">
        <v>1132</v>
      </c>
      <c r="I56" s="14">
        <v>111.57</v>
      </c>
    </row>
    <row r="57" spans="1:9">
      <c r="A57" s="5">
        <v>1</v>
      </c>
      <c r="B57" s="18" t="s">
        <v>332</v>
      </c>
      <c r="C57" s="19">
        <v>0</v>
      </c>
      <c r="D57" s="19">
        <v>0</v>
      </c>
      <c r="E57" s="174">
        <f>'A3-ADIT'!D12</f>
        <v>0</v>
      </c>
      <c r="F57" s="174">
        <f>'A3-ADIT'!D13</f>
        <v>-67847487.618393347</v>
      </c>
      <c r="G57" s="174">
        <f>'A3-ADIT'!D14</f>
        <v>-5119768</v>
      </c>
      <c r="H57" s="174">
        <f>'A3-ADIT'!D15</f>
        <v>16680632</v>
      </c>
      <c r="I57" s="19">
        <v>1345521</v>
      </c>
    </row>
    <row r="58" spans="1:9">
      <c r="A58" s="5">
        <v>2</v>
      </c>
      <c r="B58" s="18" t="s">
        <v>165</v>
      </c>
      <c r="C58" s="19">
        <v>0</v>
      </c>
      <c r="D58" s="19">
        <v>0</v>
      </c>
      <c r="E58" s="25"/>
      <c r="F58" s="25"/>
      <c r="G58" s="25"/>
      <c r="H58" s="25"/>
      <c r="I58" s="19">
        <v>1303130</v>
      </c>
    </row>
    <row r="59" spans="1:9">
      <c r="A59" s="5">
        <v>3</v>
      </c>
      <c r="B59" s="3" t="s">
        <v>166</v>
      </c>
      <c r="C59" s="19">
        <v>0</v>
      </c>
      <c r="D59" s="19">
        <v>0</v>
      </c>
      <c r="E59" s="25"/>
      <c r="F59" s="25"/>
      <c r="G59" s="25"/>
      <c r="H59" s="25"/>
      <c r="I59" s="19">
        <v>1078137</v>
      </c>
    </row>
    <row r="60" spans="1:9">
      <c r="A60" s="5">
        <v>4</v>
      </c>
      <c r="B60" s="3" t="s">
        <v>333</v>
      </c>
      <c r="C60" s="19">
        <v>0</v>
      </c>
      <c r="D60" s="19">
        <v>0</v>
      </c>
      <c r="E60" s="25"/>
      <c r="F60" s="25"/>
      <c r="G60" s="25"/>
      <c r="H60" s="25"/>
      <c r="I60" s="19">
        <v>1204792</v>
      </c>
    </row>
    <row r="61" spans="1:9">
      <c r="A61" s="5">
        <v>5</v>
      </c>
      <c r="B61" s="3" t="s">
        <v>167</v>
      </c>
      <c r="C61" s="19">
        <v>0</v>
      </c>
      <c r="D61" s="19">
        <v>0</v>
      </c>
      <c r="E61" s="25"/>
      <c r="F61" s="25"/>
      <c r="G61" s="25"/>
      <c r="H61" s="25"/>
      <c r="I61" s="19">
        <v>1169063</v>
      </c>
    </row>
    <row r="62" spans="1:9">
      <c r="A62" s="5">
        <v>6</v>
      </c>
      <c r="B62" s="3" t="s">
        <v>168</v>
      </c>
      <c r="C62" s="19">
        <v>0</v>
      </c>
      <c r="D62" s="19">
        <v>0</v>
      </c>
      <c r="E62" s="25"/>
      <c r="F62" s="25"/>
      <c r="G62" s="25"/>
      <c r="H62" s="25"/>
      <c r="I62" s="19">
        <v>1070737</v>
      </c>
    </row>
    <row r="63" spans="1:9">
      <c r="A63" s="5">
        <v>7</v>
      </c>
      <c r="B63" s="3" t="s">
        <v>169</v>
      </c>
      <c r="C63" s="19">
        <v>0</v>
      </c>
      <c r="D63" s="19">
        <v>0</v>
      </c>
      <c r="E63" s="25"/>
      <c r="F63" s="25"/>
      <c r="G63" s="25"/>
      <c r="H63" s="25"/>
      <c r="I63" s="19">
        <v>1054960</v>
      </c>
    </row>
    <row r="64" spans="1:9">
      <c r="A64" s="5">
        <v>8</v>
      </c>
      <c r="B64" s="3" t="s">
        <v>170</v>
      </c>
      <c r="C64" s="19">
        <v>0</v>
      </c>
      <c r="D64" s="19">
        <v>0</v>
      </c>
      <c r="E64" s="25"/>
      <c r="F64" s="25"/>
      <c r="G64" s="25"/>
      <c r="H64" s="25"/>
      <c r="I64" s="19">
        <v>991672</v>
      </c>
    </row>
    <row r="65" spans="1:9">
      <c r="A65" s="5">
        <v>9</v>
      </c>
      <c r="B65" s="3" t="s">
        <v>334</v>
      </c>
      <c r="C65" s="19">
        <v>0</v>
      </c>
      <c r="D65" s="19">
        <v>0</v>
      </c>
      <c r="E65" s="25"/>
      <c r="F65" s="25"/>
      <c r="G65" s="25"/>
      <c r="H65" s="25"/>
      <c r="I65" s="19">
        <v>860178</v>
      </c>
    </row>
    <row r="66" spans="1:9">
      <c r="A66" s="5">
        <v>10</v>
      </c>
      <c r="B66" s="3" t="s">
        <v>171</v>
      </c>
      <c r="C66" s="19">
        <v>0</v>
      </c>
      <c r="D66" s="19">
        <v>0</v>
      </c>
      <c r="E66" s="25"/>
      <c r="F66" s="25"/>
      <c r="G66" s="25"/>
      <c r="H66" s="25"/>
      <c r="I66" s="19">
        <v>839025</v>
      </c>
    </row>
    <row r="67" spans="1:9">
      <c r="A67" s="5">
        <v>11</v>
      </c>
      <c r="B67" s="3" t="s">
        <v>172</v>
      </c>
      <c r="C67" s="19">
        <v>0</v>
      </c>
      <c r="D67" s="19">
        <v>0</v>
      </c>
      <c r="E67" s="25"/>
      <c r="F67" s="25"/>
      <c r="G67" s="25"/>
      <c r="H67" s="25"/>
      <c r="I67" s="19">
        <v>989324</v>
      </c>
    </row>
    <row r="68" spans="1:9">
      <c r="A68" s="5">
        <v>12</v>
      </c>
      <c r="B68" s="3" t="s">
        <v>173</v>
      </c>
      <c r="C68" s="19">
        <v>0</v>
      </c>
      <c r="D68" s="19">
        <v>0</v>
      </c>
      <c r="E68" s="25"/>
      <c r="F68" s="25"/>
      <c r="G68" s="25"/>
      <c r="H68" s="25"/>
      <c r="I68" s="19">
        <v>1972453</v>
      </c>
    </row>
    <row r="69" spans="1:9">
      <c r="A69" s="5">
        <v>13</v>
      </c>
      <c r="B69" s="3" t="s">
        <v>335</v>
      </c>
      <c r="C69" s="19">
        <v>0</v>
      </c>
      <c r="D69" s="19">
        <v>0</v>
      </c>
      <c r="E69" s="174">
        <v>0</v>
      </c>
      <c r="F69" s="174">
        <f>'A3-ADIT'!E13</f>
        <v>-74674604.139379382</v>
      </c>
      <c r="G69" s="174">
        <f>'A3-ADIT'!E14</f>
        <v>-2910131</v>
      </c>
      <c r="H69" s="174">
        <f>'A3-ADIT'!E15</f>
        <v>25144204</v>
      </c>
      <c r="I69" s="19">
        <v>1860099</v>
      </c>
    </row>
    <row r="70" spans="1:9" ht="13.5" thickBot="1">
      <c r="A70" s="5">
        <v>14</v>
      </c>
      <c r="B70" s="17" t="s">
        <v>345</v>
      </c>
      <c r="C70" s="21">
        <f>SUM(C57:C69)/13</f>
        <v>0</v>
      </c>
      <c r="D70" s="26">
        <f>SUM(D57:D69)/13</f>
        <v>0</v>
      </c>
      <c r="E70" s="430">
        <f>'A3-ADIT'!F12</f>
        <v>0</v>
      </c>
      <c r="F70" s="430">
        <f>'A3-ADIT'!F13</f>
        <v>-71261045.878886372</v>
      </c>
      <c r="G70" s="430">
        <f>'A3-ADIT'!F14</f>
        <v>-4014949.5</v>
      </c>
      <c r="H70" s="430">
        <f>'A3-ADIT'!F15</f>
        <v>20912418</v>
      </c>
      <c r="I70" s="682">
        <f t="shared" ref="I70" si="2">SUM(I57:I69)/13</f>
        <v>1210699.3076923077</v>
      </c>
    </row>
    <row r="71" spans="1:9" ht="13.5" thickTop="1">
      <c r="A71" s="5">
        <v>15</v>
      </c>
      <c r="B71" s="3" t="s">
        <v>1103</v>
      </c>
      <c r="I71" s="23"/>
    </row>
    <row r="72" spans="1:9" s="16" customFormat="1">
      <c r="A72" s="5"/>
      <c r="B72" s="27"/>
      <c r="C72" s="28"/>
      <c r="D72" s="28"/>
      <c r="E72" s="28"/>
      <c r="F72" s="28"/>
      <c r="G72" s="28"/>
      <c r="H72" s="2"/>
      <c r="I72" s="2"/>
    </row>
    <row r="73" spans="1:9" s="16" customFormat="1">
      <c r="A73" s="5"/>
      <c r="B73" s="27"/>
      <c r="C73" s="28"/>
      <c r="D73" s="28"/>
      <c r="E73" s="28"/>
      <c r="F73" s="28"/>
      <c r="G73" s="28"/>
      <c r="H73" s="2"/>
      <c r="I73" s="2"/>
    </row>
    <row r="74" spans="1:9" s="16" customFormat="1">
      <c r="A74" s="5"/>
      <c r="B74" s="186" t="s">
        <v>346</v>
      </c>
      <c r="C74" s="28"/>
      <c r="D74" s="28"/>
      <c r="E74" s="28"/>
      <c r="F74" s="28"/>
      <c r="G74" s="28"/>
      <c r="H74" s="2"/>
      <c r="I74" s="2"/>
    </row>
    <row r="75" spans="1:9" s="16" customFormat="1" ht="92.25" customHeight="1">
      <c r="A75" s="5">
        <f>+A70+1</f>
        <v>15</v>
      </c>
      <c r="B75" s="29" t="s">
        <v>347</v>
      </c>
      <c r="C75" s="30"/>
      <c r="D75" s="31" t="s">
        <v>1087</v>
      </c>
      <c r="E75" s="31" t="s">
        <v>800</v>
      </c>
      <c r="F75" s="31" t="s">
        <v>801</v>
      </c>
      <c r="G75" s="31" t="s">
        <v>348</v>
      </c>
      <c r="H75" s="32" t="s">
        <v>349</v>
      </c>
      <c r="I75" s="32" t="s">
        <v>350</v>
      </c>
    </row>
    <row r="76" spans="1:9" s="16" customFormat="1">
      <c r="A76" s="5">
        <v>16</v>
      </c>
      <c r="B76" s="2"/>
      <c r="C76" s="33" t="s">
        <v>351</v>
      </c>
      <c r="D76" s="34"/>
      <c r="E76" s="34"/>
      <c r="F76" s="34"/>
      <c r="G76" s="34"/>
      <c r="H76" s="34"/>
      <c r="I76" s="35">
        <f t="shared" ref="I76:I81" si="3">+H76*E76*D76*F76*G76</f>
        <v>0</v>
      </c>
    </row>
    <row r="77" spans="1:9" s="16" customFormat="1">
      <c r="A77" s="5">
        <v>17</v>
      </c>
      <c r="B77" s="2"/>
      <c r="C77" s="33" t="s">
        <v>352</v>
      </c>
      <c r="D77" s="36"/>
      <c r="E77" s="34"/>
      <c r="F77" s="34"/>
      <c r="G77" s="34"/>
      <c r="H77" s="34"/>
      <c r="I77" s="35">
        <f t="shared" si="3"/>
        <v>0</v>
      </c>
    </row>
    <row r="78" spans="1:9" s="16" customFormat="1">
      <c r="A78" s="5">
        <v>18</v>
      </c>
      <c r="B78" s="2"/>
      <c r="C78" s="33" t="s">
        <v>353</v>
      </c>
      <c r="D78" s="36"/>
      <c r="E78" s="34"/>
      <c r="F78" s="37"/>
      <c r="G78" s="37"/>
      <c r="H78" s="34"/>
      <c r="I78" s="35">
        <f t="shared" si="3"/>
        <v>0</v>
      </c>
    </row>
    <row r="79" spans="1:9" s="16" customFormat="1">
      <c r="A79" s="5">
        <v>19</v>
      </c>
      <c r="B79" s="2"/>
      <c r="C79" s="33" t="s">
        <v>354</v>
      </c>
      <c r="D79" s="36"/>
      <c r="E79" s="34"/>
      <c r="F79" s="37"/>
      <c r="G79" s="37"/>
      <c r="H79" s="34"/>
      <c r="I79" s="35">
        <f t="shared" si="3"/>
        <v>0</v>
      </c>
    </row>
    <row r="80" spans="1:9" s="16" customFormat="1">
      <c r="A80" s="5">
        <v>20</v>
      </c>
      <c r="B80" s="2"/>
      <c r="C80" s="33" t="s">
        <v>355</v>
      </c>
      <c r="D80" s="36"/>
      <c r="E80" s="34"/>
      <c r="F80" s="37"/>
      <c r="G80" s="37"/>
      <c r="H80" s="34"/>
      <c r="I80" s="35">
        <f t="shared" si="3"/>
        <v>0</v>
      </c>
    </row>
    <row r="81" spans="1:9" s="16" customFormat="1">
      <c r="A81" s="5">
        <v>21</v>
      </c>
      <c r="B81" s="2"/>
      <c r="C81" s="38" t="s">
        <v>355</v>
      </c>
      <c r="D81" s="39"/>
      <c r="E81" s="40"/>
      <c r="F81" s="41"/>
      <c r="G81" s="41"/>
      <c r="H81" s="40"/>
      <c r="I81" s="42">
        <f t="shared" si="3"/>
        <v>0</v>
      </c>
    </row>
    <row r="82" spans="1:9" s="16" customFormat="1">
      <c r="A82" s="5">
        <v>22</v>
      </c>
      <c r="B82" s="2"/>
      <c r="C82" s="29" t="s">
        <v>9</v>
      </c>
      <c r="D82" s="43">
        <f t="shared" ref="D82:I82" si="4">SUM(D76:D81)</f>
        <v>0</v>
      </c>
      <c r="E82" s="43">
        <f t="shared" si="4"/>
        <v>0</v>
      </c>
      <c r="F82" s="43">
        <f t="shared" si="4"/>
        <v>0</v>
      </c>
      <c r="G82" s="43">
        <f t="shared" si="4"/>
        <v>0</v>
      </c>
      <c r="H82" s="43">
        <f t="shared" si="4"/>
        <v>0</v>
      </c>
      <c r="I82" s="35">
        <f t="shared" si="4"/>
        <v>0</v>
      </c>
    </row>
    <row r="83" spans="1:9">
      <c r="C83" s="3"/>
      <c r="E83" s="445" t="str">
        <f>E1</f>
        <v>Worksheet A4</v>
      </c>
      <c r="F83" s="3"/>
      <c r="H83" s="3"/>
      <c r="I83" s="3"/>
    </row>
    <row r="84" spans="1:9">
      <c r="A84" s="5"/>
      <c r="C84" s="3"/>
      <c r="D84" s="3"/>
      <c r="E84" s="445" t="str">
        <f t="shared" ref="E84:E85" si="5">E2</f>
        <v>Rate Base Worksheet</v>
      </c>
      <c r="F84" s="3"/>
      <c r="H84" s="3"/>
      <c r="I84" s="3"/>
    </row>
    <row r="85" spans="1:9" ht="15">
      <c r="A85" s="5"/>
      <c r="C85" s="3"/>
      <c r="E85" s="445" t="str">
        <f t="shared" si="5"/>
        <v>Cheyenne Light, Fuel &amp; Power</v>
      </c>
      <c r="F85" s="3"/>
      <c r="H85"/>
      <c r="I85" s="188" t="s">
        <v>966</v>
      </c>
    </row>
    <row r="86" spans="1:9" ht="15">
      <c r="A86" s="5"/>
      <c r="B86" s="3"/>
      <c r="C86" s="22"/>
      <c r="D86" s="23"/>
      <c r="E86" s="23"/>
      <c r="F86" s="23"/>
      <c r="G86" s="22"/>
      <c r="H86"/>
      <c r="I86" s="22"/>
    </row>
    <row r="87" spans="1:9" ht="15">
      <c r="A87" s="5"/>
      <c r="B87" s="24"/>
      <c r="C87" s="792" t="s">
        <v>967</v>
      </c>
      <c r="D87" s="793"/>
      <c r="E87" s="793"/>
      <c r="F87" s="793"/>
      <c r="G87" s="688" t="s">
        <v>976</v>
      </c>
      <c r="H87"/>
      <c r="I87" s="22"/>
    </row>
    <row r="88" spans="1:9" ht="58.5" customHeight="1">
      <c r="A88" s="5" t="s">
        <v>320</v>
      </c>
      <c r="B88" s="13" t="s">
        <v>268</v>
      </c>
      <c r="C88" s="14" t="s">
        <v>969</v>
      </c>
      <c r="D88" s="14" t="s">
        <v>970</v>
      </c>
      <c r="E88" s="14" t="s">
        <v>971</v>
      </c>
      <c r="F88" s="14" t="s">
        <v>327</v>
      </c>
      <c r="G88" s="14"/>
      <c r="H88"/>
      <c r="I88" s="606"/>
    </row>
    <row r="89" spans="1:9" s="16" customFormat="1" ht="15">
      <c r="A89" s="5"/>
      <c r="B89" s="13" t="s">
        <v>157</v>
      </c>
      <c r="C89" s="14" t="s">
        <v>158</v>
      </c>
      <c r="D89" s="14" t="s">
        <v>159</v>
      </c>
      <c r="E89" s="14" t="s">
        <v>160</v>
      </c>
      <c r="F89" s="14" t="s">
        <v>161</v>
      </c>
      <c r="G89" s="186" t="s">
        <v>162</v>
      </c>
      <c r="H89"/>
      <c r="I89" s="341"/>
    </row>
    <row r="90" spans="1:9" s="16" customFormat="1" ht="30.75" customHeight="1">
      <c r="A90" s="5"/>
      <c r="B90" s="17" t="s">
        <v>328</v>
      </c>
      <c r="C90" s="13" t="s">
        <v>972</v>
      </c>
      <c r="D90" s="13" t="s">
        <v>973</v>
      </c>
      <c r="E90" s="13" t="s">
        <v>974</v>
      </c>
      <c r="F90" s="13" t="s">
        <v>975</v>
      </c>
      <c r="G90" s="14"/>
      <c r="H90"/>
      <c r="I90" s="10"/>
    </row>
    <row r="91" spans="1:9" ht="15">
      <c r="A91" s="5">
        <v>1</v>
      </c>
      <c r="B91" s="18" t="s">
        <v>332</v>
      </c>
      <c r="C91" s="19">
        <v>5371.1099298022282</v>
      </c>
      <c r="D91" s="19">
        <v>465071</v>
      </c>
      <c r="E91" s="19">
        <v>4227603.810095788</v>
      </c>
      <c r="F91" s="603">
        <f>SUM(C91:E91)</f>
        <v>4698045.9200255899</v>
      </c>
      <c r="G91" s="14"/>
      <c r="H91"/>
      <c r="I91" s="10"/>
    </row>
    <row r="92" spans="1:9" ht="15">
      <c r="A92" s="5">
        <v>2</v>
      </c>
      <c r="B92" s="18" t="s">
        <v>165</v>
      </c>
      <c r="C92" s="19">
        <v>2612.9443456752488</v>
      </c>
      <c r="D92" s="19">
        <v>599842</v>
      </c>
      <c r="E92" s="19">
        <v>4461348.6644545682</v>
      </c>
      <c r="F92" s="603">
        <f t="shared" ref="F92:F103" si="6">SUM(C92:E92)</f>
        <v>5063803.6088002436</v>
      </c>
      <c r="G92" s="14"/>
      <c r="H92"/>
      <c r="I92" s="10"/>
    </row>
    <row r="93" spans="1:9" ht="15">
      <c r="A93" s="5">
        <v>3</v>
      </c>
      <c r="B93" s="3" t="s">
        <v>166</v>
      </c>
      <c r="C93" s="19">
        <v>2613.4026511656025</v>
      </c>
      <c r="D93" s="19">
        <v>548167</v>
      </c>
      <c r="E93" s="19">
        <v>4462131.1765622934</v>
      </c>
      <c r="F93" s="603">
        <f t="shared" si="6"/>
        <v>5012911.579213459</v>
      </c>
      <c r="G93" s="14"/>
      <c r="H93"/>
      <c r="I93" s="10"/>
    </row>
    <row r="94" spans="1:9" ht="15">
      <c r="A94" s="5">
        <v>4</v>
      </c>
      <c r="B94" s="3" t="s">
        <v>333</v>
      </c>
      <c r="C94" s="19">
        <v>2511.3794253402962</v>
      </c>
      <c r="D94" s="19">
        <v>582730</v>
      </c>
      <c r="E94" s="19">
        <v>4287936.4283915469</v>
      </c>
      <c r="F94" s="603">
        <f t="shared" si="6"/>
        <v>4873177.8078168873</v>
      </c>
      <c r="G94" s="14"/>
      <c r="H94"/>
      <c r="I94" s="10"/>
    </row>
    <row r="95" spans="1:9" ht="15">
      <c r="A95" s="5">
        <v>5</v>
      </c>
      <c r="B95" s="3" t="s">
        <v>167</v>
      </c>
      <c r="C95" s="19">
        <v>2567.2530122182166</v>
      </c>
      <c r="D95" s="19">
        <v>660502</v>
      </c>
      <c r="E95" s="19">
        <v>4383335.1507595414</v>
      </c>
      <c r="F95" s="603">
        <f t="shared" si="6"/>
        <v>5046404.4037717599</v>
      </c>
      <c r="G95" s="14"/>
      <c r="H95"/>
      <c r="I95" s="10"/>
    </row>
    <row r="96" spans="1:9" ht="15">
      <c r="A96" s="5">
        <v>6</v>
      </c>
      <c r="B96" s="3" t="s">
        <v>168</v>
      </c>
      <c r="C96" s="19">
        <v>2562.6328765297967</v>
      </c>
      <c r="D96" s="19">
        <v>769752</v>
      </c>
      <c r="E96" s="19">
        <v>4375446.7178439125</v>
      </c>
      <c r="F96" s="603">
        <f t="shared" si="6"/>
        <v>5147761.3507204428</v>
      </c>
      <c r="G96" s="14"/>
      <c r="H96"/>
      <c r="I96" s="10"/>
    </row>
    <row r="97" spans="1:9" ht="15">
      <c r="A97" s="5">
        <v>7</v>
      </c>
      <c r="B97" s="3" t="s">
        <v>169</v>
      </c>
      <c r="C97" s="19">
        <v>2536.8792956183411</v>
      </c>
      <c r="D97" s="19">
        <v>809687</v>
      </c>
      <c r="E97" s="19">
        <v>4331474.9799864218</v>
      </c>
      <c r="F97" s="603">
        <f t="shared" si="6"/>
        <v>5143698.85928204</v>
      </c>
      <c r="G97" s="14"/>
      <c r="H97"/>
      <c r="I97" s="10"/>
    </row>
    <row r="98" spans="1:9" ht="15">
      <c r="A98" s="5">
        <v>8</v>
      </c>
      <c r="B98" s="3" t="s">
        <v>170</v>
      </c>
      <c r="C98" s="19">
        <v>2714.4855212970747</v>
      </c>
      <c r="D98" s="19">
        <v>874151</v>
      </c>
      <c r="E98" s="19">
        <v>4634720.3587263459</v>
      </c>
      <c r="F98" s="603">
        <f t="shared" si="6"/>
        <v>5511585.8442476429</v>
      </c>
      <c r="G98" s="14"/>
      <c r="H98"/>
      <c r="I98" s="10"/>
    </row>
    <row r="99" spans="1:9" ht="15">
      <c r="A99" s="5">
        <v>9</v>
      </c>
      <c r="B99" s="3" t="s">
        <v>334</v>
      </c>
      <c r="C99" s="19">
        <v>2704.9538079618555</v>
      </c>
      <c r="D99" s="19">
        <v>953301</v>
      </c>
      <c r="E99" s="19">
        <v>4618445.8840600848</v>
      </c>
      <c r="F99" s="603">
        <f t="shared" si="6"/>
        <v>5574451.8378680469</v>
      </c>
      <c r="G99" s="14"/>
      <c r="H99"/>
      <c r="I99" s="10"/>
    </row>
    <row r="100" spans="1:9" ht="15">
      <c r="A100" s="5">
        <v>10</v>
      </c>
      <c r="B100" s="3" t="s">
        <v>171</v>
      </c>
      <c r="C100" s="19">
        <v>2727.1505609549172</v>
      </c>
      <c r="D100" s="19">
        <v>1005063</v>
      </c>
      <c r="E100" s="19">
        <v>4656344.6837359089</v>
      </c>
      <c r="F100" s="603">
        <f t="shared" si="6"/>
        <v>5664134.8342968635</v>
      </c>
      <c r="G100" s="14"/>
      <c r="H100"/>
      <c r="I100" s="10"/>
    </row>
    <row r="101" spans="1:9" ht="15">
      <c r="A101" s="5">
        <v>11</v>
      </c>
      <c r="B101" s="3" t="s">
        <v>172</v>
      </c>
      <c r="C101" s="19">
        <v>2796.3618459392615</v>
      </c>
      <c r="D101" s="19">
        <v>1203542</v>
      </c>
      <c r="E101" s="19">
        <v>4774516.2300764006</v>
      </c>
      <c r="F101" s="603">
        <f t="shared" si="6"/>
        <v>5980854.59192234</v>
      </c>
      <c r="G101" s="14"/>
      <c r="H101"/>
      <c r="I101" s="10"/>
    </row>
    <row r="102" spans="1:9" ht="15">
      <c r="A102" s="5">
        <v>12</v>
      </c>
      <c r="B102" s="3" t="s">
        <v>173</v>
      </c>
      <c r="C102" s="19">
        <v>3000.6346855396864</v>
      </c>
      <c r="D102" s="19">
        <v>1042019</v>
      </c>
      <c r="E102" s="736">
        <v>5123292.2618522272</v>
      </c>
      <c r="F102" s="603">
        <f t="shared" si="6"/>
        <v>6168311.8965377668</v>
      </c>
      <c r="G102" s="14"/>
      <c r="H102"/>
      <c r="I102" s="10"/>
    </row>
    <row r="103" spans="1:9" ht="15">
      <c r="A103" s="5">
        <v>13</v>
      </c>
      <c r="B103" s="3" t="s">
        <v>335</v>
      </c>
      <c r="C103" s="19">
        <v>3030.5592042104076</v>
      </c>
      <c r="D103" s="19">
        <v>1010227</v>
      </c>
      <c r="E103" s="19">
        <v>5174385.4707937166</v>
      </c>
      <c r="F103" s="603">
        <f t="shared" si="6"/>
        <v>6187643.0299979271</v>
      </c>
      <c r="G103" s="14"/>
      <c r="H103"/>
      <c r="I103" s="10"/>
    </row>
    <row r="104" spans="1:9" ht="15">
      <c r="A104" s="5">
        <v>14</v>
      </c>
      <c r="B104" s="17" t="s">
        <v>345</v>
      </c>
      <c r="C104" s="602">
        <f>SUM(C91:C103)/13</f>
        <v>2903.826704788687</v>
      </c>
      <c r="D104" s="602">
        <f t="shared" ref="D104:E104" si="7">SUM(D91:D103)/13</f>
        <v>809542.61538461538</v>
      </c>
      <c r="E104" s="602">
        <f t="shared" si="7"/>
        <v>4577767.8321029814</v>
      </c>
      <c r="F104" s="602">
        <f>SUM(F91:F103)/13</f>
        <v>5390214.2741923863</v>
      </c>
      <c r="G104" s="14"/>
      <c r="H104"/>
      <c r="I104"/>
    </row>
    <row r="105" spans="1:9" ht="15">
      <c r="A105" s="5">
        <v>15</v>
      </c>
      <c r="B105" s="17" t="s">
        <v>10</v>
      </c>
      <c r="C105" s="600" t="s">
        <v>11</v>
      </c>
      <c r="D105" s="600" t="s">
        <v>100</v>
      </c>
      <c r="E105" s="600" t="s">
        <v>27</v>
      </c>
      <c r="F105" s="599"/>
      <c r="G105" s="14"/>
      <c r="H105"/>
      <c r="I105" s="10"/>
    </row>
    <row r="106" spans="1:9" ht="15">
      <c r="A106" s="5">
        <v>16</v>
      </c>
      <c r="B106" s="17" t="s">
        <v>1105</v>
      </c>
      <c r="C106" s="601">
        <f>'Act Att-H'!I174</f>
        <v>0.94993800079121415</v>
      </c>
      <c r="D106" s="601">
        <f>'Act Att-H'!I191</f>
        <v>7.0964263854582682E-2</v>
      </c>
      <c r="E106" s="601">
        <v>0</v>
      </c>
      <c r="F106" s="599"/>
      <c r="G106" s="14"/>
      <c r="H106"/>
      <c r="I106" s="10"/>
    </row>
    <row r="107" spans="1:9" ht="15.75" thickBot="1">
      <c r="A107" s="5">
        <v>17</v>
      </c>
      <c r="B107" s="17" t="s">
        <v>968</v>
      </c>
      <c r="C107" s="21">
        <f>C106*C104</f>
        <v>2758.4553345911045</v>
      </c>
      <c r="D107" s="21">
        <f t="shared" ref="D107:E107" si="8">D106*D104</f>
        <v>57448.595759682794</v>
      </c>
      <c r="E107" s="21">
        <f t="shared" si="8"/>
        <v>0</v>
      </c>
      <c r="F107" s="21">
        <f>C107+D107+E107</f>
        <v>60207.051094273898</v>
      </c>
      <c r="G107" s="14"/>
      <c r="H107"/>
      <c r="I107" s="10"/>
    </row>
    <row r="108" spans="1:9" s="16" customFormat="1" ht="15.75" thickTop="1">
      <c r="A108" s="5">
        <v>18</v>
      </c>
      <c r="B108" s="27"/>
      <c r="C108" s="28"/>
      <c r="D108" s="28"/>
      <c r="E108" s="28"/>
      <c r="F108" s="28"/>
      <c r="G108" s="46"/>
      <c r="H108"/>
      <c r="I108" s="2"/>
    </row>
    <row r="109" spans="1:9" s="16" customFormat="1" ht="15">
      <c r="A109" s="5">
        <v>19</v>
      </c>
      <c r="B109" s="659" t="s">
        <v>1183</v>
      </c>
      <c r="C109" s="659"/>
      <c r="D109" s="659"/>
      <c r="E109" s="28"/>
      <c r="F109" s="28"/>
      <c r="G109" s="34">
        <v>-318213.26582278463</v>
      </c>
      <c r="H109"/>
      <c r="I109" s="2"/>
    </row>
    <row r="110" spans="1:9" s="16" customFormat="1" ht="15">
      <c r="A110" s="5">
        <v>20</v>
      </c>
      <c r="B110" s="659" t="s">
        <v>1184</v>
      </c>
      <c r="C110" s="659"/>
      <c r="D110" s="659"/>
      <c r="E110" s="28"/>
      <c r="F110" s="28"/>
      <c r="G110" s="40">
        <v>1515301.2658227845</v>
      </c>
      <c r="H110"/>
      <c r="I110" s="2"/>
    </row>
    <row r="111" spans="1:9" s="16" customFormat="1" ht="15">
      <c r="A111" s="5">
        <v>21</v>
      </c>
      <c r="B111" s="659" t="s">
        <v>1107</v>
      </c>
      <c r="C111" s="28"/>
      <c r="D111" s="28"/>
      <c r="E111" s="110" t="s">
        <v>1137</v>
      </c>
      <c r="F111" s="28"/>
      <c r="G111" s="737">
        <f>SUM(G109:G110)</f>
        <v>1197088</v>
      </c>
      <c r="H111"/>
      <c r="I111" s="2"/>
    </row>
    <row r="112" spans="1:9" s="16" customFormat="1" ht="15">
      <c r="A112" s="5">
        <v>22</v>
      </c>
      <c r="B112" s="659" t="s">
        <v>1006</v>
      </c>
      <c r="C112" s="657" t="s">
        <v>982</v>
      </c>
      <c r="D112" s="28"/>
      <c r="E112" s="28"/>
      <c r="F112" s="28"/>
      <c r="G112" s="658">
        <v>7.9579999999999998E-2</v>
      </c>
      <c r="H112"/>
      <c r="I112" s="2"/>
    </row>
    <row r="113" spans="1:9" s="16" customFormat="1" ht="15">
      <c r="A113" s="5">
        <v>23</v>
      </c>
      <c r="B113" s="724" t="s">
        <v>1106</v>
      </c>
      <c r="C113" s="660"/>
      <c r="D113" s="661"/>
      <c r="E113" s="661"/>
      <c r="F113" s="661"/>
      <c r="G113" s="662">
        <f>G111*G112</f>
        <v>95264.263039999991</v>
      </c>
      <c r="H113"/>
      <c r="I113" s="2"/>
    </row>
    <row r="114" spans="1:9" s="16" customFormat="1" ht="15">
      <c r="A114" s="5"/>
      <c r="B114" s="27"/>
      <c r="C114" s="28"/>
      <c r="D114" s="28"/>
      <c r="E114" s="28"/>
      <c r="F114" s="28"/>
      <c r="H114"/>
      <c r="I114" s="2"/>
    </row>
    <row r="115" spans="1:9">
      <c r="A115" s="187" t="s">
        <v>205</v>
      </c>
    </row>
    <row r="116" spans="1:9" ht="15" customHeight="1">
      <c r="A116" s="49" t="s">
        <v>79</v>
      </c>
      <c r="B116" s="759" t="s">
        <v>356</v>
      </c>
      <c r="C116" s="759"/>
      <c r="D116" s="759"/>
      <c r="E116" s="759"/>
      <c r="F116" s="759"/>
      <c r="G116" s="759"/>
      <c r="H116" s="759"/>
      <c r="I116" s="759"/>
    </row>
    <row r="117" spans="1:9" ht="15" customHeight="1">
      <c r="A117" s="49" t="s">
        <v>80</v>
      </c>
      <c r="B117" s="759" t="s">
        <v>357</v>
      </c>
      <c r="C117" s="759"/>
      <c r="D117" s="759"/>
      <c r="E117" s="759"/>
      <c r="F117" s="759"/>
      <c r="G117" s="759"/>
      <c r="H117" s="759"/>
      <c r="I117" s="759"/>
    </row>
    <row r="118" spans="1:9" ht="58.5" customHeight="1">
      <c r="A118" s="49" t="s">
        <v>81</v>
      </c>
      <c r="B118" s="759" t="s">
        <v>939</v>
      </c>
      <c r="C118" s="759"/>
      <c r="D118" s="759"/>
      <c r="E118" s="759"/>
      <c r="F118" s="759"/>
      <c r="G118" s="759"/>
      <c r="H118" s="759"/>
      <c r="I118" s="759"/>
    </row>
    <row r="119" spans="1:9">
      <c r="A119" s="49" t="s">
        <v>82</v>
      </c>
      <c r="B119" s="759" t="s">
        <v>1131</v>
      </c>
      <c r="C119" s="759"/>
      <c r="D119" s="759"/>
      <c r="E119" s="759"/>
      <c r="F119" s="759"/>
      <c r="G119" s="759"/>
      <c r="H119" s="759"/>
      <c r="I119" s="759"/>
    </row>
    <row r="120" spans="1:9" ht="18.75" customHeight="1">
      <c r="A120" s="49" t="s">
        <v>83</v>
      </c>
      <c r="B120" s="788" t="s">
        <v>938</v>
      </c>
      <c r="C120" s="788"/>
      <c r="D120" s="788"/>
      <c r="E120" s="788"/>
      <c r="F120" s="788"/>
      <c r="G120" s="788"/>
      <c r="H120" s="788"/>
      <c r="I120" s="788"/>
    </row>
    <row r="121" spans="1:9" ht="15" customHeight="1">
      <c r="A121" s="49" t="s">
        <v>84</v>
      </c>
      <c r="B121" s="795" t="s">
        <v>358</v>
      </c>
      <c r="C121" s="795"/>
      <c r="D121" s="795"/>
      <c r="E121" s="795"/>
      <c r="F121" s="795"/>
      <c r="G121" s="795"/>
      <c r="H121" s="795"/>
      <c r="I121" s="795"/>
    </row>
    <row r="122" spans="1:9" ht="94.15" customHeight="1">
      <c r="A122" s="49" t="s">
        <v>85</v>
      </c>
      <c r="B122" s="788" t="s">
        <v>747</v>
      </c>
      <c r="C122" s="788"/>
      <c r="D122" s="788"/>
      <c r="E122" s="788"/>
      <c r="F122" s="788"/>
      <c r="G122" s="788"/>
      <c r="H122" s="788"/>
      <c r="I122" s="788"/>
    </row>
    <row r="123" spans="1:9" ht="36" customHeight="1">
      <c r="A123" s="49" t="s">
        <v>449</v>
      </c>
      <c r="B123" s="759" t="s">
        <v>1100</v>
      </c>
      <c r="C123" s="759"/>
      <c r="D123" s="759"/>
      <c r="E123" s="759"/>
      <c r="F123" s="759"/>
      <c r="G123" s="759"/>
      <c r="H123" s="759"/>
      <c r="I123" s="759"/>
    </row>
    <row r="124" spans="1:9" ht="32.25" customHeight="1">
      <c r="A124" s="49" t="s">
        <v>86</v>
      </c>
      <c r="B124" s="759" t="s">
        <v>1175</v>
      </c>
      <c r="C124" s="759"/>
      <c r="D124" s="759"/>
      <c r="E124" s="759"/>
      <c r="F124" s="759"/>
      <c r="G124" s="759"/>
      <c r="H124" s="759"/>
      <c r="I124" s="759"/>
    </row>
    <row r="125" spans="1:9" ht="27" customHeight="1">
      <c r="A125" s="49" t="s">
        <v>87</v>
      </c>
      <c r="B125" s="759" t="s">
        <v>1117</v>
      </c>
      <c r="C125" s="759"/>
      <c r="D125" s="759"/>
      <c r="E125" s="759"/>
      <c r="F125" s="759"/>
      <c r="G125" s="759"/>
      <c r="H125" s="759"/>
      <c r="I125" s="759"/>
    </row>
    <row r="126" spans="1:9">
      <c r="A126" s="49" t="s">
        <v>88</v>
      </c>
      <c r="B126" s="759" t="s">
        <v>1182</v>
      </c>
      <c r="C126" s="759"/>
      <c r="D126" s="759"/>
      <c r="E126" s="759"/>
      <c r="F126" s="759"/>
      <c r="G126" s="759"/>
      <c r="H126" s="759"/>
      <c r="I126" s="759"/>
    </row>
    <row r="127" spans="1:9">
      <c r="A127" s="49" t="s">
        <v>452</v>
      </c>
      <c r="B127" s="759" t="s">
        <v>1171</v>
      </c>
      <c r="C127" s="759"/>
      <c r="D127" s="759"/>
      <c r="E127" s="759"/>
      <c r="F127" s="759"/>
      <c r="G127" s="759"/>
      <c r="H127" s="759"/>
      <c r="I127" s="759"/>
    </row>
  </sheetData>
  <mergeCells count="16">
    <mergeCell ref="B122:I122"/>
    <mergeCell ref="B127:I127"/>
    <mergeCell ref="C5:G5"/>
    <mergeCell ref="E28:I28"/>
    <mergeCell ref="C53:I53"/>
    <mergeCell ref="B116:I116"/>
    <mergeCell ref="B117:I117"/>
    <mergeCell ref="B121:I121"/>
    <mergeCell ref="B118:I118"/>
    <mergeCell ref="B119:I119"/>
    <mergeCell ref="B120:I120"/>
    <mergeCell ref="C87:F87"/>
    <mergeCell ref="B126:I126"/>
    <mergeCell ref="B125:I125"/>
    <mergeCell ref="B124:I124"/>
    <mergeCell ref="B123:I123"/>
  </mergeCells>
  <pageMargins left="0.5" right="0.25" top="1" bottom="1" header="0.5" footer="0.5"/>
  <pageSetup scale="60" fitToHeight="4" orientation="portrait" r:id="rId1"/>
  <headerFooter alignWithMargins="0"/>
  <rowBreaks count="2" manualBreakCount="2">
    <brk id="48" max="16383" man="1"/>
    <brk id="82" max="16383" man="1"/>
  </rowBreaks>
  <cellWatches>
    <cellWatch r="G113"/>
  </cellWatches>
  <ignoredErrors>
    <ignoredError sqref="I46" formulaRange="1"/>
    <ignoredError sqref="E49 E83:E85"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39997558519241921"/>
    <pageSetUpPr fitToPage="1"/>
  </sheetPr>
  <dimension ref="A1:H88"/>
  <sheetViews>
    <sheetView workbookViewId="0">
      <selection sqref="A1:H1"/>
    </sheetView>
  </sheetViews>
  <sheetFormatPr defaultColWidth="7.109375" defaultRowHeight="12.75"/>
  <cols>
    <col min="1" max="1" width="2.109375" style="204" customWidth="1"/>
    <col min="2" max="2" width="3.5546875" style="204" customWidth="1"/>
    <col min="3" max="4" width="1.77734375" style="204" customWidth="1"/>
    <col min="5" max="5" width="6.44140625" style="204" customWidth="1"/>
    <col min="6" max="6" width="52.5546875" style="204" customWidth="1"/>
    <col min="7" max="7" width="1.77734375" style="204" customWidth="1"/>
    <col min="8" max="8" width="8.21875" style="306" customWidth="1"/>
    <col min="9" max="9" width="8.21875" style="204" customWidth="1"/>
    <col min="10" max="256" width="7.109375" style="204"/>
    <col min="257" max="257" width="10.21875" style="204" customWidth="1"/>
    <col min="258" max="258" width="3.5546875" style="204" customWidth="1"/>
    <col min="259" max="260" width="1.77734375" style="204" customWidth="1"/>
    <col min="261" max="261" width="4" style="204" customWidth="1"/>
    <col min="262" max="262" width="24.21875" style="204" customWidth="1"/>
    <col min="263" max="263" width="1.77734375" style="204" customWidth="1"/>
    <col min="264" max="265" width="8.21875" style="204" customWidth="1"/>
    <col min="266" max="512" width="7.109375" style="204"/>
    <col min="513" max="513" width="10.21875" style="204" customWidth="1"/>
    <col min="514" max="514" width="3.5546875" style="204" customWidth="1"/>
    <col min="515" max="516" width="1.77734375" style="204" customWidth="1"/>
    <col min="517" max="517" width="4" style="204" customWidth="1"/>
    <col min="518" max="518" width="24.21875" style="204" customWidth="1"/>
    <col min="519" max="519" width="1.77734375" style="204" customWidth="1"/>
    <col min="520" max="521" width="8.21875" style="204" customWidth="1"/>
    <col min="522" max="768" width="7.109375" style="204"/>
    <col min="769" max="769" width="10.21875" style="204" customWidth="1"/>
    <col min="770" max="770" width="3.5546875" style="204" customWidth="1"/>
    <col min="771" max="772" width="1.77734375" style="204" customWidth="1"/>
    <col min="773" max="773" width="4" style="204" customWidth="1"/>
    <col min="774" max="774" width="24.21875" style="204" customWidth="1"/>
    <col min="775" max="775" width="1.77734375" style="204" customWidth="1"/>
    <col min="776" max="777" width="8.21875" style="204" customWidth="1"/>
    <col min="778" max="1024" width="7.109375" style="204"/>
    <col min="1025" max="1025" width="10.21875" style="204" customWidth="1"/>
    <col min="1026" max="1026" width="3.5546875" style="204" customWidth="1"/>
    <col min="1027" max="1028" width="1.77734375" style="204" customWidth="1"/>
    <col min="1029" max="1029" width="4" style="204" customWidth="1"/>
    <col min="1030" max="1030" width="24.21875" style="204" customWidth="1"/>
    <col min="1031" max="1031" width="1.77734375" style="204" customWidth="1"/>
    <col min="1032" max="1033" width="8.21875" style="204" customWidth="1"/>
    <col min="1034" max="1280" width="7.109375" style="204"/>
    <col min="1281" max="1281" width="10.21875" style="204" customWidth="1"/>
    <col min="1282" max="1282" width="3.5546875" style="204" customWidth="1"/>
    <col min="1283" max="1284" width="1.77734375" style="204" customWidth="1"/>
    <col min="1285" max="1285" width="4" style="204" customWidth="1"/>
    <col min="1286" max="1286" width="24.21875" style="204" customWidth="1"/>
    <col min="1287" max="1287" width="1.77734375" style="204" customWidth="1"/>
    <col min="1288" max="1289" width="8.21875" style="204" customWidth="1"/>
    <col min="1290" max="1536" width="7.109375" style="204"/>
    <col min="1537" max="1537" width="10.21875" style="204" customWidth="1"/>
    <col min="1538" max="1538" width="3.5546875" style="204" customWidth="1"/>
    <col min="1539" max="1540" width="1.77734375" style="204" customWidth="1"/>
    <col min="1541" max="1541" width="4" style="204" customWidth="1"/>
    <col min="1542" max="1542" width="24.21875" style="204" customWidth="1"/>
    <col min="1543" max="1543" width="1.77734375" style="204" customWidth="1"/>
    <col min="1544" max="1545" width="8.21875" style="204" customWidth="1"/>
    <col min="1546" max="1792" width="7.109375" style="204"/>
    <col min="1793" max="1793" width="10.21875" style="204" customWidth="1"/>
    <col min="1794" max="1794" width="3.5546875" style="204" customWidth="1"/>
    <col min="1795" max="1796" width="1.77734375" style="204" customWidth="1"/>
    <col min="1797" max="1797" width="4" style="204" customWidth="1"/>
    <col min="1798" max="1798" width="24.21875" style="204" customWidth="1"/>
    <col min="1799" max="1799" width="1.77734375" style="204" customWidth="1"/>
    <col min="1800" max="1801" width="8.21875" style="204" customWidth="1"/>
    <col min="1802" max="2048" width="7.109375" style="204"/>
    <col min="2049" max="2049" width="10.21875" style="204" customWidth="1"/>
    <col min="2050" max="2050" width="3.5546875" style="204" customWidth="1"/>
    <col min="2051" max="2052" width="1.77734375" style="204" customWidth="1"/>
    <col min="2053" max="2053" width="4" style="204" customWidth="1"/>
    <col min="2054" max="2054" width="24.21875" style="204" customWidth="1"/>
    <col min="2055" max="2055" width="1.77734375" style="204" customWidth="1"/>
    <col min="2056" max="2057" width="8.21875" style="204" customWidth="1"/>
    <col min="2058" max="2304" width="7.109375" style="204"/>
    <col min="2305" max="2305" width="10.21875" style="204" customWidth="1"/>
    <col min="2306" max="2306" width="3.5546875" style="204" customWidth="1"/>
    <col min="2307" max="2308" width="1.77734375" style="204" customWidth="1"/>
    <col min="2309" max="2309" width="4" style="204" customWidth="1"/>
    <col min="2310" max="2310" width="24.21875" style="204" customWidth="1"/>
    <col min="2311" max="2311" width="1.77734375" style="204" customWidth="1"/>
    <col min="2312" max="2313" width="8.21875" style="204" customWidth="1"/>
    <col min="2314" max="2560" width="7.109375" style="204"/>
    <col min="2561" max="2561" width="10.21875" style="204" customWidth="1"/>
    <col min="2562" max="2562" width="3.5546875" style="204" customWidth="1"/>
    <col min="2563" max="2564" width="1.77734375" style="204" customWidth="1"/>
    <col min="2565" max="2565" width="4" style="204" customWidth="1"/>
    <col min="2566" max="2566" width="24.21875" style="204" customWidth="1"/>
    <col min="2567" max="2567" width="1.77734375" style="204" customWidth="1"/>
    <col min="2568" max="2569" width="8.21875" style="204" customWidth="1"/>
    <col min="2570" max="2816" width="7.109375" style="204"/>
    <col min="2817" max="2817" width="10.21875" style="204" customWidth="1"/>
    <col min="2818" max="2818" width="3.5546875" style="204" customWidth="1"/>
    <col min="2819" max="2820" width="1.77734375" style="204" customWidth="1"/>
    <col min="2821" max="2821" width="4" style="204" customWidth="1"/>
    <col min="2822" max="2822" width="24.21875" style="204" customWidth="1"/>
    <col min="2823" max="2823" width="1.77734375" style="204" customWidth="1"/>
    <col min="2824" max="2825" width="8.21875" style="204" customWidth="1"/>
    <col min="2826" max="3072" width="7.109375" style="204"/>
    <col min="3073" max="3073" width="10.21875" style="204" customWidth="1"/>
    <col min="3074" max="3074" width="3.5546875" style="204" customWidth="1"/>
    <col min="3075" max="3076" width="1.77734375" style="204" customWidth="1"/>
    <col min="3077" max="3077" width="4" style="204" customWidth="1"/>
    <col min="3078" max="3078" width="24.21875" style="204" customWidth="1"/>
    <col min="3079" max="3079" width="1.77734375" style="204" customWidth="1"/>
    <col min="3080" max="3081" width="8.21875" style="204" customWidth="1"/>
    <col min="3082" max="3328" width="7.109375" style="204"/>
    <col min="3329" max="3329" width="10.21875" style="204" customWidth="1"/>
    <col min="3330" max="3330" width="3.5546875" style="204" customWidth="1"/>
    <col min="3331" max="3332" width="1.77734375" style="204" customWidth="1"/>
    <col min="3333" max="3333" width="4" style="204" customWidth="1"/>
    <col min="3334" max="3334" width="24.21875" style="204" customWidth="1"/>
    <col min="3335" max="3335" width="1.77734375" style="204" customWidth="1"/>
    <col min="3336" max="3337" width="8.21875" style="204" customWidth="1"/>
    <col min="3338" max="3584" width="7.109375" style="204"/>
    <col min="3585" max="3585" width="10.21875" style="204" customWidth="1"/>
    <col min="3586" max="3586" width="3.5546875" style="204" customWidth="1"/>
    <col min="3587" max="3588" width="1.77734375" style="204" customWidth="1"/>
    <col min="3589" max="3589" width="4" style="204" customWidth="1"/>
    <col min="3590" max="3590" width="24.21875" style="204" customWidth="1"/>
    <col min="3591" max="3591" width="1.77734375" style="204" customWidth="1"/>
    <col min="3592" max="3593" width="8.21875" style="204" customWidth="1"/>
    <col min="3594" max="3840" width="7.109375" style="204"/>
    <col min="3841" max="3841" width="10.21875" style="204" customWidth="1"/>
    <col min="3842" max="3842" width="3.5546875" style="204" customWidth="1"/>
    <col min="3843" max="3844" width="1.77734375" style="204" customWidth="1"/>
    <col min="3845" max="3845" width="4" style="204" customWidth="1"/>
    <col min="3846" max="3846" width="24.21875" style="204" customWidth="1"/>
    <col min="3847" max="3847" width="1.77734375" style="204" customWidth="1"/>
    <col min="3848" max="3849" width="8.21875" style="204" customWidth="1"/>
    <col min="3850" max="4096" width="7.109375" style="204"/>
    <col min="4097" max="4097" width="10.21875" style="204" customWidth="1"/>
    <col min="4098" max="4098" width="3.5546875" style="204" customWidth="1"/>
    <col min="4099" max="4100" width="1.77734375" style="204" customWidth="1"/>
    <col min="4101" max="4101" width="4" style="204" customWidth="1"/>
    <col min="4102" max="4102" width="24.21875" style="204" customWidth="1"/>
    <col min="4103" max="4103" width="1.77734375" style="204" customWidth="1"/>
    <col min="4104" max="4105" width="8.21875" style="204" customWidth="1"/>
    <col min="4106" max="4352" width="7.109375" style="204"/>
    <col min="4353" max="4353" width="10.21875" style="204" customWidth="1"/>
    <col min="4354" max="4354" width="3.5546875" style="204" customWidth="1"/>
    <col min="4355" max="4356" width="1.77734375" style="204" customWidth="1"/>
    <col min="4357" max="4357" width="4" style="204" customWidth="1"/>
    <col min="4358" max="4358" width="24.21875" style="204" customWidth="1"/>
    <col min="4359" max="4359" width="1.77734375" style="204" customWidth="1"/>
    <col min="4360" max="4361" width="8.21875" style="204" customWidth="1"/>
    <col min="4362" max="4608" width="7.109375" style="204"/>
    <col min="4609" max="4609" width="10.21875" style="204" customWidth="1"/>
    <col min="4610" max="4610" width="3.5546875" style="204" customWidth="1"/>
    <col min="4611" max="4612" width="1.77734375" style="204" customWidth="1"/>
    <col min="4613" max="4613" width="4" style="204" customWidth="1"/>
    <col min="4614" max="4614" width="24.21875" style="204" customWidth="1"/>
    <col min="4615" max="4615" width="1.77734375" style="204" customWidth="1"/>
    <col min="4616" max="4617" width="8.21875" style="204" customWidth="1"/>
    <col min="4618" max="4864" width="7.109375" style="204"/>
    <col min="4865" max="4865" width="10.21875" style="204" customWidth="1"/>
    <col min="4866" max="4866" width="3.5546875" style="204" customWidth="1"/>
    <col min="4867" max="4868" width="1.77734375" style="204" customWidth="1"/>
    <col min="4869" max="4869" width="4" style="204" customWidth="1"/>
    <col min="4870" max="4870" width="24.21875" style="204" customWidth="1"/>
    <col min="4871" max="4871" width="1.77734375" style="204" customWidth="1"/>
    <col min="4872" max="4873" width="8.21875" style="204" customWidth="1"/>
    <col min="4874" max="5120" width="7.109375" style="204"/>
    <col min="5121" max="5121" width="10.21875" style="204" customWidth="1"/>
    <col min="5122" max="5122" width="3.5546875" style="204" customWidth="1"/>
    <col min="5123" max="5124" width="1.77734375" style="204" customWidth="1"/>
    <col min="5125" max="5125" width="4" style="204" customWidth="1"/>
    <col min="5126" max="5126" width="24.21875" style="204" customWidth="1"/>
    <col min="5127" max="5127" width="1.77734375" style="204" customWidth="1"/>
    <col min="5128" max="5129" width="8.21875" style="204" customWidth="1"/>
    <col min="5130" max="5376" width="7.109375" style="204"/>
    <col min="5377" max="5377" width="10.21875" style="204" customWidth="1"/>
    <col min="5378" max="5378" width="3.5546875" style="204" customWidth="1"/>
    <col min="5379" max="5380" width="1.77734375" style="204" customWidth="1"/>
    <col min="5381" max="5381" width="4" style="204" customWidth="1"/>
    <col min="5382" max="5382" width="24.21875" style="204" customWidth="1"/>
    <col min="5383" max="5383" width="1.77734375" style="204" customWidth="1"/>
    <col min="5384" max="5385" width="8.21875" style="204" customWidth="1"/>
    <col min="5386" max="5632" width="7.109375" style="204"/>
    <col min="5633" max="5633" width="10.21875" style="204" customWidth="1"/>
    <col min="5634" max="5634" width="3.5546875" style="204" customWidth="1"/>
    <col min="5635" max="5636" width="1.77734375" style="204" customWidth="1"/>
    <col min="5637" max="5637" width="4" style="204" customWidth="1"/>
    <col min="5638" max="5638" width="24.21875" style="204" customWidth="1"/>
    <col min="5639" max="5639" width="1.77734375" style="204" customWidth="1"/>
    <col min="5640" max="5641" width="8.21875" style="204" customWidth="1"/>
    <col min="5642" max="5888" width="7.109375" style="204"/>
    <col min="5889" max="5889" width="10.21875" style="204" customWidth="1"/>
    <col min="5890" max="5890" width="3.5546875" style="204" customWidth="1"/>
    <col min="5891" max="5892" width="1.77734375" style="204" customWidth="1"/>
    <col min="5893" max="5893" width="4" style="204" customWidth="1"/>
    <col min="5894" max="5894" width="24.21875" style="204" customWidth="1"/>
    <col min="5895" max="5895" width="1.77734375" style="204" customWidth="1"/>
    <col min="5896" max="5897" width="8.21875" style="204" customWidth="1"/>
    <col min="5898" max="6144" width="7.109375" style="204"/>
    <col min="6145" max="6145" width="10.21875" style="204" customWidth="1"/>
    <col min="6146" max="6146" width="3.5546875" style="204" customWidth="1"/>
    <col min="6147" max="6148" width="1.77734375" style="204" customWidth="1"/>
    <col min="6149" max="6149" width="4" style="204" customWidth="1"/>
    <col min="6150" max="6150" width="24.21875" style="204" customWidth="1"/>
    <col min="6151" max="6151" width="1.77734375" style="204" customWidth="1"/>
    <col min="6152" max="6153" width="8.21875" style="204" customWidth="1"/>
    <col min="6154" max="6400" width="7.109375" style="204"/>
    <col min="6401" max="6401" width="10.21875" style="204" customWidth="1"/>
    <col min="6402" max="6402" width="3.5546875" style="204" customWidth="1"/>
    <col min="6403" max="6404" width="1.77734375" style="204" customWidth="1"/>
    <col min="6405" max="6405" width="4" style="204" customWidth="1"/>
    <col min="6406" max="6406" width="24.21875" style="204" customWidth="1"/>
    <col min="6407" max="6407" width="1.77734375" style="204" customWidth="1"/>
    <col min="6408" max="6409" width="8.21875" style="204" customWidth="1"/>
    <col min="6410" max="6656" width="7.109375" style="204"/>
    <col min="6657" max="6657" width="10.21875" style="204" customWidth="1"/>
    <col min="6658" max="6658" width="3.5546875" style="204" customWidth="1"/>
    <col min="6659" max="6660" width="1.77734375" style="204" customWidth="1"/>
    <col min="6661" max="6661" width="4" style="204" customWidth="1"/>
    <col min="6662" max="6662" width="24.21875" style="204" customWidth="1"/>
    <col min="6663" max="6663" width="1.77734375" style="204" customWidth="1"/>
    <col min="6664" max="6665" width="8.21875" style="204" customWidth="1"/>
    <col min="6666" max="6912" width="7.109375" style="204"/>
    <col min="6913" max="6913" width="10.21875" style="204" customWidth="1"/>
    <col min="6914" max="6914" width="3.5546875" style="204" customWidth="1"/>
    <col min="6915" max="6916" width="1.77734375" style="204" customWidth="1"/>
    <col min="6917" max="6917" width="4" style="204" customWidth="1"/>
    <col min="6918" max="6918" width="24.21875" style="204" customWidth="1"/>
    <col min="6919" max="6919" width="1.77734375" style="204" customWidth="1"/>
    <col min="6920" max="6921" width="8.21875" style="204" customWidth="1"/>
    <col min="6922" max="7168" width="7.109375" style="204"/>
    <col min="7169" max="7169" width="10.21875" style="204" customWidth="1"/>
    <col min="7170" max="7170" width="3.5546875" style="204" customWidth="1"/>
    <col min="7171" max="7172" width="1.77734375" style="204" customWidth="1"/>
    <col min="7173" max="7173" width="4" style="204" customWidth="1"/>
    <col min="7174" max="7174" width="24.21875" style="204" customWidth="1"/>
    <col min="7175" max="7175" width="1.77734375" style="204" customWidth="1"/>
    <col min="7176" max="7177" width="8.21875" style="204" customWidth="1"/>
    <col min="7178" max="7424" width="7.109375" style="204"/>
    <col min="7425" max="7425" width="10.21875" style="204" customWidth="1"/>
    <col min="7426" max="7426" width="3.5546875" style="204" customWidth="1"/>
    <col min="7427" max="7428" width="1.77734375" style="204" customWidth="1"/>
    <col min="7429" max="7429" width="4" style="204" customWidth="1"/>
    <col min="7430" max="7430" width="24.21875" style="204" customWidth="1"/>
    <col min="7431" max="7431" width="1.77734375" style="204" customWidth="1"/>
    <col min="7432" max="7433" width="8.21875" style="204" customWidth="1"/>
    <col min="7434" max="7680" width="7.109375" style="204"/>
    <col min="7681" max="7681" width="10.21875" style="204" customWidth="1"/>
    <col min="7682" max="7682" width="3.5546875" style="204" customWidth="1"/>
    <col min="7683" max="7684" width="1.77734375" style="204" customWidth="1"/>
    <col min="7685" max="7685" width="4" style="204" customWidth="1"/>
    <col min="7686" max="7686" width="24.21875" style="204" customWidth="1"/>
    <col min="7687" max="7687" width="1.77734375" style="204" customWidth="1"/>
    <col min="7688" max="7689" width="8.21875" style="204" customWidth="1"/>
    <col min="7690" max="7936" width="7.109375" style="204"/>
    <col min="7937" max="7937" width="10.21875" style="204" customWidth="1"/>
    <col min="7938" max="7938" width="3.5546875" style="204" customWidth="1"/>
    <col min="7939" max="7940" width="1.77734375" style="204" customWidth="1"/>
    <col min="7941" max="7941" width="4" style="204" customWidth="1"/>
    <col min="7942" max="7942" width="24.21875" style="204" customWidth="1"/>
    <col min="7943" max="7943" width="1.77734375" style="204" customWidth="1"/>
    <col min="7944" max="7945" width="8.21875" style="204" customWidth="1"/>
    <col min="7946" max="8192" width="7.109375" style="204"/>
    <col min="8193" max="8193" width="10.21875" style="204" customWidth="1"/>
    <col min="8194" max="8194" width="3.5546875" style="204" customWidth="1"/>
    <col min="8195" max="8196" width="1.77734375" style="204" customWidth="1"/>
    <col min="8197" max="8197" width="4" style="204" customWidth="1"/>
    <col min="8198" max="8198" width="24.21875" style="204" customWidth="1"/>
    <col min="8199" max="8199" width="1.77734375" style="204" customWidth="1"/>
    <col min="8200" max="8201" width="8.21875" style="204" customWidth="1"/>
    <col min="8202" max="8448" width="7.109375" style="204"/>
    <col min="8449" max="8449" width="10.21875" style="204" customWidth="1"/>
    <col min="8450" max="8450" width="3.5546875" style="204" customWidth="1"/>
    <col min="8451" max="8452" width="1.77734375" style="204" customWidth="1"/>
    <col min="8453" max="8453" width="4" style="204" customWidth="1"/>
    <col min="8454" max="8454" width="24.21875" style="204" customWidth="1"/>
    <col min="8455" max="8455" width="1.77734375" style="204" customWidth="1"/>
    <col min="8456" max="8457" width="8.21875" style="204" customWidth="1"/>
    <col min="8458" max="8704" width="7.109375" style="204"/>
    <col min="8705" max="8705" width="10.21875" style="204" customWidth="1"/>
    <col min="8706" max="8706" width="3.5546875" style="204" customWidth="1"/>
    <col min="8707" max="8708" width="1.77734375" style="204" customWidth="1"/>
    <col min="8709" max="8709" width="4" style="204" customWidth="1"/>
    <col min="8710" max="8710" width="24.21875" style="204" customWidth="1"/>
    <col min="8711" max="8711" width="1.77734375" style="204" customWidth="1"/>
    <col min="8712" max="8713" width="8.21875" style="204" customWidth="1"/>
    <col min="8714" max="8960" width="7.109375" style="204"/>
    <col min="8961" max="8961" width="10.21875" style="204" customWidth="1"/>
    <col min="8962" max="8962" width="3.5546875" style="204" customWidth="1"/>
    <col min="8963" max="8964" width="1.77734375" style="204" customWidth="1"/>
    <col min="8965" max="8965" width="4" style="204" customWidth="1"/>
    <col min="8966" max="8966" width="24.21875" style="204" customWidth="1"/>
    <col min="8967" max="8967" width="1.77734375" style="204" customWidth="1"/>
    <col min="8968" max="8969" width="8.21875" style="204" customWidth="1"/>
    <col min="8970" max="9216" width="7.109375" style="204"/>
    <col min="9217" max="9217" width="10.21875" style="204" customWidth="1"/>
    <col min="9218" max="9218" width="3.5546875" style="204" customWidth="1"/>
    <col min="9219" max="9220" width="1.77734375" style="204" customWidth="1"/>
    <col min="9221" max="9221" width="4" style="204" customWidth="1"/>
    <col min="9222" max="9222" width="24.21875" style="204" customWidth="1"/>
    <col min="9223" max="9223" width="1.77734375" style="204" customWidth="1"/>
    <col min="9224" max="9225" width="8.21875" style="204" customWidth="1"/>
    <col min="9226" max="9472" width="7.109375" style="204"/>
    <col min="9473" max="9473" width="10.21875" style="204" customWidth="1"/>
    <col min="9474" max="9474" width="3.5546875" style="204" customWidth="1"/>
    <col min="9475" max="9476" width="1.77734375" style="204" customWidth="1"/>
    <col min="9477" max="9477" width="4" style="204" customWidth="1"/>
    <col min="9478" max="9478" width="24.21875" style="204" customWidth="1"/>
    <col min="9479" max="9479" width="1.77734375" style="204" customWidth="1"/>
    <col min="9480" max="9481" width="8.21875" style="204" customWidth="1"/>
    <col min="9482" max="9728" width="7.109375" style="204"/>
    <col min="9729" max="9729" width="10.21875" style="204" customWidth="1"/>
    <col min="9730" max="9730" width="3.5546875" style="204" customWidth="1"/>
    <col min="9731" max="9732" width="1.77734375" style="204" customWidth="1"/>
    <col min="9733" max="9733" width="4" style="204" customWidth="1"/>
    <col min="9734" max="9734" width="24.21875" style="204" customWidth="1"/>
    <col min="9735" max="9735" width="1.77734375" style="204" customWidth="1"/>
    <col min="9736" max="9737" width="8.21875" style="204" customWidth="1"/>
    <col min="9738" max="9984" width="7.109375" style="204"/>
    <col min="9985" max="9985" width="10.21875" style="204" customWidth="1"/>
    <col min="9986" max="9986" width="3.5546875" style="204" customWidth="1"/>
    <col min="9987" max="9988" width="1.77734375" style="204" customWidth="1"/>
    <col min="9989" max="9989" width="4" style="204" customWidth="1"/>
    <col min="9990" max="9990" width="24.21875" style="204" customWidth="1"/>
    <col min="9991" max="9991" width="1.77734375" style="204" customWidth="1"/>
    <col min="9992" max="9993" width="8.21875" style="204" customWidth="1"/>
    <col min="9994" max="10240" width="7.109375" style="204"/>
    <col min="10241" max="10241" width="10.21875" style="204" customWidth="1"/>
    <col min="10242" max="10242" width="3.5546875" style="204" customWidth="1"/>
    <col min="10243" max="10244" width="1.77734375" style="204" customWidth="1"/>
    <col min="10245" max="10245" width="4" style="204" customWidth="1"/>
    <col min="10246" max="10246" width="24.21875" style="204" customWidth="1"/>
    <col min="10247" max="10247" width="1.77734375" style="204" customWidth="1"/>
    <col min="10248" max="10249" width="8.21875" style="204" customWidth="1"/>
    <col min="10250" max="10496" width="7.109375" style="204"/>
    <col min="10497" max="10497" width="10.21875" style="204" customWidth="1"/>
    <col min="10498" max="10498" width="3.5546875" style="204" customWidth="1"/>
    <col min="10499" max="10500" width="1.77734375" style="204" customWidth="1"/>
    <col min="10501" max="10501" width="4" style="204" customWidth="1"/>
    <col min="10502" max="10502" width="24.21875" style="204" customWidth="1"/>
    <col min="10503" max="10503" width="1.77734375" style="204" customWidth="1"/>
    <col min="10504" max="10505" width="8.21875" style="204" customWidth="1"/>
    <col min="10506" max="10752" width="7.109375" style="204"/>
    <col min="10753" max="10753" width="10.21875" style="204" customWidth="1"/>
    <col min="10754" max="10754" width="3.5546875" style="204" customWidth="1"/>
    <col min="10755" max="10756" width="1.77734375" style="204" customWidth="1"/>
    <col min="10757" max="10757" width="4" style="204" customWidth="1"/>
    <col min="10758" max="10758" width="24.21875" style="204" customWidth="1"/>
    <col min="10759" max="10759" width="1.77734375" style="204" customWidth="1"/>
    <col min="10760" max="10761" width="8.21875" style="204" customWidth="1"/>
    <col min="10762" max="11008" width="7.109375" style="204"/>
    <col min="11009" max="11009" width="10.21875" style="204" customWidth="1"/>
    <col min="11010" max="11010" width="3.5546875" style="204" customWidth="1"/>
    <col min="11011" max="11012" width="1.77734375" style="204" customWidth="1"/>
    <col min="11013" max="11013" width="4" style="204" customWidth="1"/>
    <col min="11014" max="11014" width="24.21875" style="204" customWidth="1"/>
    <col min="11015" max="11015" width="1.77734375" style="204" customWidth="1"/>
    <col min="11016" max="11017" width="8.21875" style="204" customWidth="1"/>
    <col min="11018" max="11264" width="7.109375" style="204"/>
    <col min="11265" max="11265" width="10.21875" style="204" customWidth="1"/>
    <col min="11266" max="11266" width="3.5546875" style="204" customWidth="1"/>
    <col min="11267" max="11268" width="1.77734375" style="204" customWidth="1"/>
    <col min="11269" max="11269" width="4" style="204" customWidth="1"/>
    <col min="11270" max="11270" width="24.21875" style="204" customWidth="1"/>
    <col min="11271" max="11271" width="1.77734375" style="204" customWidth="1"/>
    <col min="11272" max="11273" width="8.21875" style="204" customWidth="1"/>
    <col min="11274" max="11520" width="7.109375" style="204"/>
    <col min="11521" max="11521" width="10.21875" style="204" customWidth="1"/>
    <col min="11522" max="11522" width="3.5546875" style="204" customWidth="1"/>
    <col min="11523" max="11524" width="1.77734375" style="204" customWidth="1"/>
    <col min="11525" max="11525" width="4" style="204" customWidth="1"/>
    <col min="11526" max="11526" width="24.21875" style="204" customWidth="1"/>
    <col min="11527" max="11527" width="1.77734375" style="204" customWidth="1"/>
    <col min="11528" max="11529" width="8.21875" style="204" customWidth="1"/>
    <col min="11530" max="11776" width="7.109375" style="204"/>
    <col min="11777" max="11777" width="10.21875" style="204" customWidth="1"/>
    <col min="11778" max="11778" width="3.5546875" style="204" customWidth="1"/>
    <col min="11779" max="11780" width="1.77734375" style="204" customWidth="1"/>
    <col min="11781" max="11781" width="4" style="204" customWidth="1"/>
    <col min="11782" max="11782" width="24.21875" style="204" customWidth="1"/>
    <col min="11783" max="11783" width="1.77734375" style="204" customWidth="1"/>
    <col min="11784" max="11785" width="8.21875" style="204" customWidth="1"/>
    <col min="11786" max="12032" width="7.109375" style="204"/>
    <col min="12033" max="12033" width="10.21875" style="204" customWidth="1"/>
    <col min="12034" max="12034" width="3.5546875" style="204" customWidth="1"/>
    <col min="12035" max="12036" width="1.77734375" style="204" customWidth="1"/>
    <col min="12037" max="12037" width="4" style="204" customWidth="1"/>
    <col min="12038" max="12038" width="24.21875" style="204" customWidth="1"/>
    <col min="12039" max="12039" width="1.77734375" style="204" customWidth="1"/>
    <col min="12040" max="12041" width="8.21875" style="204" customWidth="1"/>
    <col min="12042" max="12288" width="7.109375" style="204"/>
    <col min="12289" max="12289" width="10.21875" style="204" customWidth="1"/>
    <col min="12290" max="12290" width="3.5546875" style="204" customWidth="1"/>
    <col min="12291" max="12292" width="1.77734375" style="204" customWidth="1"/>
    <col min="12293" max="12293" width="4" style="204" customWidth="1"/>
    <col min="12294" max="12294" width="24.21875" style="204" customWidth="1"/>
    <col min="12295" max="12295" width="1.77734375" style="204" customWidth="1"/>
    <col min="12296" max="12297" width="8.21875" style="204" customWidth="1"/>
    <col min="12298" max="12544" width="7.109375" style="204"/>
    <col min="12545" max="12545" width="10.21875" style="204" customWidth="1"/>
    <col min="12546" max="12546" width="3.5546875" style="204" customWidth="1"/>
    <col min="12547" max="12548" width="1.77734375" style="204" customWidth="1"/>
    <col min="12549" max="12549" width="4" style="204" customWidth="1"/>
    <col min="12550" max="12550" width="24.21875" style="204" customWidth="1"/>
    <col min="12551" max="12551" width="1.77734375" style="204" customWidth="1"/>
    <col min="12552" max="12553" width="8.21875" style="204" customWidth="1"/>
    <col min="12554" max="12800" width="7.109375" style="204"/>
    <col min="12801" max="12801" width="10.21875" style="204" customWidth="1"/>
    <col min="12802" max="12802" width="3.5546875" style="204" customWidth="1"/>
    <col min="12803" max="12804" width="1.77734375" style="204" customWidth="1"/>
    <col min="12805" max="12805" width="4" style="204" customWidth="1"/>
    <col min="12806" max="12806" width="24.21875" style="204" customWidth="1"/>
    <col min="12807" max="12807" width="1.77734375" style="204" customWidth="1"/>
    <col min="12808" max="12809" width="8.21875" style="204" customWidth="1"/>
    <col min="12810" max="13056" width="7.109375" style="204"/>
    <col min="13057" max="13057" width="10.21875" style="204" customWidth="1"/>
    <col min="13058" max="13058" width="3.5546875" style="204" customWidth="1"/>
    <col min="13059" max="13060" width="1.77734375" style="204" customWidth="1"/>
    <col min="13061" max="13061" width="4" style="204" customWidth="1"/>
    <col min="13062" max="13062" width="24.21875" style="204" customWidth="1"/>
    <col min="13063" max="13063" width="1.77734375" style="204" customWidth="1"/>
    <col min="13064" max="13065" width="8.21875" style="204" customWidth="1"/>
    <col min="13066" max="13312" width="7.109375" style="204"/>
    <col min="13313" max="13313" width="10.21875" style="204" customWidth="1"/>
    <col min="13314" max="13314" width="3.5546875" style="204" customWidth="1"/>
    <col min="13315" max="13316" width="1.77734375" style="204" customWidth="1"/>
    <col min="13317" max="13317" width="4" style="204" customWidth="1"/>
    <col min="13318" max="13318" width="24.21875" style="204" customWidth="1"/>
    <col min="13319" max="13319" width="1.77734375" style="204" customWidth="1"/>
    <col min="13320" max="13321" width="8.21875" style="204" customWidth="1"/>
    <col min="13322" max="13568" width="7.109375" style="204"/>
    <col min="13569" max="13569" width="10.21875" style="204" customWidth="1"/>
    <col min="13570" max="13570" width="3.5546875" style="204" customWidth="1"/>
    <col min="13571" max="13572" width="1.77734375" style="204" customWidth="1"/>
    <col min="13573" max="13573" width="4" style="204" customWidth="1"/>
    <col min="13574" max="13574" width="24.21875" style="204" customWidth="1"/>
    <col min="13575" max="13575" width="1.77734375" style="204" customWidth="1"/>
    <col min="13576" max="13577" width="8.21875" style="204" customWidth="1"/>
    <col min="13578" max="13824" width="7.109375" style="204"/>
    <col min="13825" max="13825" width="10.21875" style="204" customWidth="1"/>
    <col min="13826" max="13826" width="3.5546875" style="204" customWidth="1"/>
    <col min="13827" max="13828" width="1.77734375" style="204" customWidth="1"/>
    <col min="13829" max="13829" width="4" style="204" customWidth="1"/>
    <col min="13830" max="13830" width="24.21875" style="204" customWidth="1"/>
    <col min="13831" max="13831" width="1.77734375" style="204" customWidth="1"/>
    <col min="13832" max="13833" width="8.21875" style="204" customWidth="1"/>
    <col min="13834" max="14080" width="7.109375" style="204"/>
    <col min="14081" max="14081" width="10.21875" style="204" customWidth="1"/>
    <col min="14082" max="14082" width="3.5546875" style="204" customWidth="1"/>
    <col min="14083" max="14084" width="1.77734375" style="204" customWidth="1"/>
    <col min="14085" max="14085" width="4" style="204" customWidth="1"/>
    <col min="14086" max="14086" width="24.21875" style="204" customWidth="1"/>
    <col min="14087" max="14087" width="1.77734375" style="204" customWidth="1"/>
    <col min="14088" max="14089" width="8.21875" style="204" customWidth="1"/>
    <col min="14090" max="14336" width="7.109375" style="204"/>
    <col min="14337" max="14337" width="10.21875" style="204" customWidth="1"/>
    <col min="14338" max="14338" width="3.5546875" style="204" customWidth="1"/>
    <col min="14339" max="14340" width="1.77734375" style="204" customWidth="1"/>
    <col min="14341" max="14341" width="4" style="204" customWidth="1"/>
    <col min="14342" max="14342" width="24.21875" style="204" customWidth="1"/>
    <col min="14343" max="14343" width="1.77734375" style="204" customWidth="1"/>
    <col min="14344" max="14345" width="8.21875" style="204" customWidth="1"/>
    <col min="14346" max="14592" width="7.109375" style="204"/>
    <col min="14593" max="14593" width="10.21875" style="204" customWidth="1"/>
    <col min="14594" max="14594" width="3.5546875" style="204" customWidth="1"/>
    <col min="14595" max="14596" width="1.77734375" style="204" customWidth="1"/>
    <col min="14597" max="14597" width="4" style="204" customWidth="1"/>
    <col min="14598" max="14598" width="24.21875" style="204" customWidth="1"/>
    <col min="14599" max="14599" width="1.77734375" style="204" customWidth="1"/>
    <col min="14600" max="14601" width="8.21875" style="204" customWidth="1"/>
    <col min="14602" max="14848" width="7.109375" style="204"/>
    <col min="14849" max="14849" width="10.21875" style="204" customWidth="1"/>
    <col min="14850" max="14850" width="3.5546875" style="204" customWidth="1"/>
    <col min="14851" max="14852" width="1.77734375" style="204" customWidth="1"/>
    <col min="14853" max="14853" width="4" style="204" customWidth="1"/>
    <col min="14854" max="14854" width="24.21875" style="204" customWidth="1"/>
    <col min="14855" max="14855" width="1.77734375" style="204" customWidth="1"/>
    <col min="14856" max="14857" width="8.21875" style="204" customWidth="1"/>
    <col min="14858" max="15104" width="7.109375" style="204"/>
    <col min="15105" max="15105" width="10.21875" style="204" customWidth="1"/>
    <col min="15106" max="15106" width="3.5546875" style="204" customWidth="1"/>
    <col min="15107" max="15108" width="1.77734375" style="204" customWidth="1"/>
    <col min="15109" max="15109" width="4" style="204" customWidth="1"/>
    <col min="15110" max="15110" width="24.21875" style="204" customWidth="1"/>
    <col min="15111" max="15111" width="1.77734375" style="204" customWidth="1"/>
    <col min="15112" max="15113" width="8.21875" style="204" customWidth="1"/>
    <col min="15114" max="15360" width="7.109375" style="204"/>
    <col min="15361" max="15361" width="10.21875" style="204" customWidth="1"/>
    <col min="15362" max="15362" width="3.5546875" style="204" customWidth="1"/>
    <col min="15363" max="15364" width="1.77734375" style="204" customWidth="1"/>
    <col min="15365" max="15365" width="4" style="204" customWidth="1"/>
    <col min="15366" max="15366" width="24.21875" style="204" customWidth="1"/>
    <col min="15367" max="15367" width="1.77734375" style="204" customWidth="1"/>
    <col min="15368" max="15369" width="8.21875" style="204" customWidth="1"/>
    <col min="15370" max="15616" width="7.109375" style="204"/>
    <col min="15617" max="15617" width="10.21875" style="204" customWidth="1"/>
    <col min="15618" max="15618" width="3.5546875" style="204" customWidth="1"/>
    <col min="15619" max="15620" width="1.77734375" style="204" customWidth="1"/>
    <col min="15621" max="15621" width="4" style="204" customWidth="1"/>
    <col min="15622" max="15622" width="24.21875" style="204" customWidth="1"/>
    <col min="15623" max="15623" width="1.77734375" style="204" customWidth="1"/>
    <col min="15624" max="15625" width="8.21875" style="204" customWidth="1"/>
    <col min="15626" max="15872" width="7.109375" style="204"/>
    <col min="15873" max="15873" width="10.21875" style="204" customWidth="1"/>
    <col min="15874" max="15874" width="3.5546875" style="204" customWidth="1"/>
    <col min="15875" max="15876" width="1.77734375" style="204" customWidth="1"/>
    <col min="15877" max="15877" width="4" style="204" customWidth="1"/>
    <col min="15878" max="15878" width="24.21875" style="204" customWidth="1"/>
    <col min="15879" max="15879" width="1.77734375" style="204" customWidth="1"/>
    <col min="15880" max="15881" width="8.21875" style="204" customWidth="1"/>
    <col min="15882" max="16128" width="7.109375" style="204"/>
    <col min="16129" max="16129" width="10.21875" style="204" customWidth="1"/>
    <col min="16130" max="16130" width="3.5546875" style="204" customWidth="1"/>
    <col min="16131" max="16132" width="1.77734375" style="204" customWidth="1"/>
    <col min="16133" max="16133" width="4" style="204" customWidth="1"/>
    <col min="16134" max="16134" width="24.21875" style="204" customWidth="1"/>
    <col min="16135" max="16135" width="1.77734375" style="204" customWidth="1"/>
    <col min="16136" max="16137" width="8.21875" style="204" customWidth="1"/>
    <col min="16138" max="16384" width="7.109375" style="204"/>
  </cols>
  <sheetData>
    <row r="1" spans="1:8" ht="14.25" customHeight="1">
      <c r="A1" s="784" t="s">
        <v>535</v>
      </c>
      <c r="B1" s="784"/>
      <c r="C1" s="784"/>
      <c r="D1" s="784"/>
      <c r="E1" s="784"/>
      <c r="F1" s="784"/>
      <c r="G1" s="784"/>
      <c r="H1" s="784"/>
    </row>
    <row r="2" spans="1:8">
      <c r="A2" s="784" t="s">
        <v>151</v>
      </c>
      <c r="B2" s="784"/>
      <c r="C2" s="784"/>
      <c r="D2" s="784"/>
      <c r="E2" s="784"/>
      <c r="F2" s="784"/>
      <c r="G2" s="784"/>
      <c r="H2" s="784"/>
    </row>
    <row r="3" spans="1:8">
      <c r="A3" s="785" t="str">
        <f>'Act Att-H'!C7</f>
        <v>Cheyenne Light, Fuel &amp; Power</v>
      </c>
      <c r="B3" s="785"/>
      <c r="C3" s="785"/>
      <c r="D3" s="785"/>
      <c r="E3" s="785"/>
      <c r="F3" s="785"/>
      <c r="G3" s="785"/>
      <c r="H3" s="785"/>
    </row>
    <row r="4" spans="1:8">
      <c r="F4" s="2"/>
      <c r="H4" s="306" t="s">
        <v>673</v>
      </c>
    </row>
    <row r="5" spans="1:8">
      <c r="A5" s="784"/>
      <c r="B5" s="784"/>
      <c r="C5" s="784"/>
      <c r="D5" s="784"/>
      <c r="E5" s="784"/>
      <c r="F5" s="784"/>
      <c r="G5" s="784"/>
      <c r="H5" s="784"/>
    </row>
    <row r="6" spans="1:8">
      <c r="B6" s="206" t="s">
        <v>4</v>
      </c>
      <c r="H6" s="204"/>
    </row>
    <row r="7" spans="1:8">
      <c r="B7" s="209" t="s">
        <v>6</v>
      </c>
      <c r="D7" s="225" t="s">
        <v>140</v>
      </c>
      <c r="E7" s="225"/>
      <c r="F7" s="225"/>
      <c r="H7" s="725" t="s">
        <v>152</v>
      </c>
    </row>
    <row r="8" spans="1:8">
      <c r="B8" s="206">
        <v>1</v>
      </c>
    </row>
    <row r="9" spans="1:8">
      <c r="B9" s="206">
        <v>2</v>
      </c>
      <c r="D9" s="216" t="s">
        <v>1077</v>
      </c>
      <c r="E9" s="216"/>
    </row>
    <row r="10" spans="1:8">
      <c r="B10" s="206">
        <v>3</v>
      </c>
      <c r="E10" s="726">
        <v>350.03</v>
      </c>
      <c r="F10" s="227" t="s">
        <v>677</v>
      </c>
      <c r="H10" s="307">
        <v>1.0800000000000001E-2</v>
      </c>
    </row>
    <row r="11" spans="1:8">
      <c r="B11" s="206">
        <v>4</v>
      </c>
      <c r="E11" s="726">
        <v>352</v>
      </c>
      <c r="F11" s="204" t="s">
        <v>678</v>
      </c>
      <c r="H11" s="307">
        <v>1.04E-2</v>
      </c>
    </row>
    <row r="12" spans="1:8">
      <c r="B12" s="206">
        <v>5</v>
      </c>
      <c r="E12" s="726">
        <v>352.05</v>
      </c>
      <c r="F12" s="204" t="s">
        <v>679</v>
      </c>
      <c r="H12" s="307">
        <v>1.83E-2</v>
      </c>
    </row>
    <row r="13" spans="1:8">
      <c r="B13" s="206">
        <v>6</v>
      </c>
      <c r="E13" s="726">
        <v>353</v>
      </c>
      <c r="F13" s="204" t="s">
        <v>680</v>
      </c>
      <c r="H13" s="307">
        <v>2.1100000000000001E-2</v>
      </c>
    </row>
    <row r="14" spans="1:8">
      <c r="B14" s="206">
        <v>7</v>
      </c>
      <c r="E14" s="726">
        <v>354</v>
      </c>
      <c r="F14" s="204" t="s">
        <v>681</v>
      </c>
      <c r="H14" s="307">
        <v>1.2200000000000001E-2</v>
      </c>
    </row>
    <row r="15" spans="1:8">
      <c r="B15" s="206">
        <v>8</v>
      </c>
      <c r="E15" s="726">
        <v>355</v>
      </c>
      <c r="F15" s="227" t="s">
        <v>682</v>
      </c>
      <c r="H15" s="307">
        <v>2.7699999999999999E-2</v>
      </c>
    </row>
    <row r="16" spans="1:8">
      <c r="B16" s="206">
        <v>9</v>
      </c>
      <c r="E16" s="726">
        <v>356</v>
      </c>
      <c r="F16" s="204" t="s">
        <v>683</v>
      </c>
      <c r="H16" s="307">
        <v>1.95E-2</v>
      </c>
    </row>
    <row r="17" spans="2:8">
      <c r="B17" s="206">
        <v>10</v>
      </c>
      <c r="F17" s="309" t="s">
        <v>684</v>
      </c>
      <c r="H17" s="310">
        <v>0.02</v>
      </c>
    </row>
    <row r="18" spans="2:8">
      <c r="B18" s="206">
        <v>11</v>
      </c>
      <c r="H18" s="691"/>
    </row>
    <row r="19" spans="2:8">
      <c r="B19" s="206">
        <v>12</v>
      </c>
      <c r="D19" s="216" t="s">
        <v>1190</v>
      </c>
      <c r="H19" s="308"/>
    </row>
    <row r="20" spans="2:8">
      <c r="B20" s="206">
        <v>13</v>
      </c>
      <c r="E20" s="726">
        <v>390.01</v>
      </c>
      <c r="F20" s="227" t="s">
        <v>1141</v>
      </c>
      <c r="H20" s="307">
        <v>2.12E-2</v>
      </c>
    </row>
    <row r="21" spans="2:8">
      <c r="B21" s="206">
        <v>14</v>
      </c>
      <c r="E21" s="726">
        <v>391.01</v>
      </c>
      <c r="F21" s="204" t="s">
        <v>1142</v>
      </c>
      <c r="H21" s="307">
        <v>5.0999999999999997E-2</v>
      </c>
    </row>
    <row r="22" spans="2:8">
      <c r="B22" s="206">
        <v>15</v>
      </c>
      <c r="E22" s="726">
        <v>391.03</v>
      </c>
      <c r="F22" s="204" t="s">
        <v>1143</v>
      </c>
      <c r="H22" s="307">
        <v>0.18629999999999999</v>
      </c>
    </row>
    <row r="23" spans="2:8">
      <c r="B23" s="206">
        <v>16</v>
      </c>
      <c r="E23" s="726">
        <v>391.04</v>
      </c>
      <c r="F23" s="204" t="s">
        <v>1144</v>
      </c>
      <c r="H23" s="307">
        <v>0.13320000000000001</v>
      </c>
    </row>
    <row r="24" spans="2:8">
      <c r="B24" s="206">
        <v>17</v>
      </c>
      <c r="E24" s="727">
        <v>392</v>
      </c>
      <c r="F24" s="204" t="s">
        <v>1145</v>
      </c>
      <c r="H24" s="307">
        <v>6.08E-2</v>
      </c>
    </row>
    <row r="25" spans="2:8">
      <c r="B25" s="206">
        <v>18</v>
      </c>
      <c r="E25" s="726">
        <v>393</v>
      </c>
      <c r="F25" s="204" t="s">
        <v>1146</v>
      </c>
      <c r="H25" s="307">
        <v>5.0200000000000002E-2</v>
      </c>
    </row>
    <row r="26" spans="2:8">
      <c r="B26" s="206">
        <v>19</v>
      </c>
      <c r="E26" s="726">
        <v>394</v>
      </c>
      <c r="F26" s="204" t="s">
        <v>1147</v>
      </c>
      <c r="H26" s="307">
        <v>3.5099999999999999E-2</v>
      </c>
    </row>
    <row r="27" spans="2:8">
      <c r="B27" s="206">
        <v>20</v>
      </c>
      <c r="E27" s="726">
        <v>395</v>
      </c>
      <c r="F27" s="204" t="s">
        <v>1148</v>
      </c>
      <c r="H27" s="307">
        <v>2.7E-2</v>
      </c>
    </row>
    <row r="28" spans="2:8">
      <c r="B28" s="206">
        <v>21</v>
      </c>
      <c r="E28" s="726">
        <v>396</v>
      </c>
      <c r="F28" s="204" t="s">
        <v>1161</v>
      </c>
      <c r="H28" s="307">
        <v>5.5300000000000002E-2</v>
      </c>
    </row>
    <row r="29" spans="2:8">
      <c r="B29" s="206">
        <v>22</v>
      </c>
      <c r="E29" s="726">
        <v>397</v>
      </c>
      <c r="F29" s="204" t="s">
        <v>1162</v>
      </c>
      <c r="H29" s="307">
        <v>6.9599999999999995E-2</v>
      </c>
    </row>
    <row r="30" spans="2:8">
      <c r="B30" s="206">
        <v>23</v>
      </c>
      <c r="F30" s="309" t="s">
        <v>1149</v>
      </c>
      <c r="H30" s="728">
        <v>7.2599999999999998E-2</v>
      </c>
    </row>
    <row r="31" spans="2:8">
      <c r="B31" s="206">
        <v>24</v>
      </c>
      <c r="H31" s="691"/>
    </row>
    <row r="32" spans="2:8">
      <c r="B32" s="206">
        <v>25</v>
      </c>
      <c r="D32" s="216" t="s">
        <v>1191</v>
      </c>
      <c r="H32" s="308"/>
    </row>
    <row r="33" spans="2:8">
      <c r="B33" s="206">
        <v>26</v>
      </c>
      <c r="E33" s="726">
        <v>390.01</v>
      </c>
      <c r="F33" s="227" t="s">
        <v>1141</v>
      </c>
      <c r="H33" s="307">
        <v>1.12E-2</v>
      </c>
    </row>
    <row r="34" spans="2:8">
      <c r="B34" s="206">
        <v>27</v>
      </c>
      <c r="E34" s="726">
        <v>390.05</v>
      </c>
      <c r="F34" s="227" t="s">
        <v>1192</v>
      </c>
      <c r="H34" s="307">
        <v>1.38E-2</v>
      </c>
    </row>
    <row r="35" spans="2:8">
      <c r="B35" s="206">
        <v>28</v>
      </c>
      <c r="E35" s="726">
        <v>391.01</v>
      </c>
      <c r="F35" s="204" t="s">
        <v>1142</v>
      </c>
      <c r="H35" s="307">
        <v>3.4599999999999999E-2</v>
      </c>
    </row>
    <row r="36" spans="2:8">
      <c r="B36" s="206">
        <v>29</v>
      </c>
      <c r="E36" s="726">
        <v>391.03</v>
      </c>
      <c r="F36" s="204" t="s">
        <v>1143</v>
      </c>
      <c r="H36" s="307">
        <v>0.16400000000000001</v>
      </c>
    </row>
    <row r="37" spans="2:8">
      <c r="B37" s="206">
        <v>30</v>
      </c>
      <c r="E37" s="726">
        <v>391.04</v>
      </c>
      <c r="F37" s="204" t="s">
        <v>1144</v>
      </c>
      <c r="H37" s="307">
        <v>0</v>
      </c>
    </row>
    <row r="38" spans="2:8">
      <c r="B38" s="206">
        <v>31</v>
      </c>
      <c r="E38" s="726">
        <v>391.05</v>
      </c>
      <c r="F38" s="204" t="s">
        <v>1193</v>
      </c>
      <c r="H38" s="307">
        <v>0.1464</v>
      </c>
    </row>
    <row r="39" spans="2:8">
      <c r="B39" s="206">
        <v>32</v>
      </c>
      <c r="E39" s="727">
        <v>392</v>
      </c>
      <c r="F39" s="204" t="s">
        <v>1145</v>
      </c>
      <c r="H39" s="307">
        <v>7.8899999999999998E-2</v>
      </c>
    </row>
    <row r="40" spans="2:8">
      <c r="B40" s="206">
        <v>33</v>
      </c>
      <c r="E40" s="726">
        <v>393</v>
      </c>
      <c r="F40" s="204" t="s">
        <v>1146</v>
      </c>
      <c r="H40" s="307">
        <v>4.8500000000000001E-2</v>
      </c>
    </row>
    <row r="41" spans="2:8">
      <c r="B41" s="206">
        <v>34</v>
      </c>
      <c r="E41" s="726">
        <v>394</v>
      </c>
      <c r="F41" s="204" t="s">
        <v>1147</v>
      </c>
      <c r="H41" s="307">
        <v>3.4099999999999998E-2</v>
      </c>
    </row>
    <row r="42" spans="2:8">
      <c r="B42" s="206">
        <v>35</v>
      </c>
      <c r="E42" s="726">
        <v>395</v>
      </c>
      <c r="F42" s="204" t="s">
        <v>1148</v>
      </c>
      <c r="H42" s="307">
        <v>3.9699999999999999E-2</v>
      </c>
    </row>
    <row r="43" spans="2:8">
      <c r="B43" s="206">
        <v>36</v>
      </c>
      <c r="E43" s="726">
        <v>396</v>
      </c>
      <c r="F43" s="204" t="s">
        <v>1161</v>
      </c>
      <c r="H43" s="307">
        <v>4.6699999999999998E-2</v>
      </c>
    </row>
    <row r="44" spans="2:8">
      <c r="B44" s="206">
        <v>37</v>
      </c>
      <c r="E44" s="726">
        <v>397</v>
      </c>
      <c r="F44" s="204" t="s">
        <v>1162</v>
      </c>
      <c r="H44" s="307">
        <v>1.83E-2</v>
      </c>
    </row>
    <row r="45" spans="2:8">
      <c r="B45" s="206">
        <v>38</v>
      </c>
      <c r="E45" s="726">
        <v>397.01</v>
      </c>
      <c r="F45" s="204" t="s">
        <v>1194</v>
      </c>
      <c r="H45" s="307">
        <v>5.0200000000000002E-2</v>
      </c>
    </row>
    <row r="46" spans="2:8">
      <c r="B46" s="206">
        <v>39</v>
      </c>
      <c r="E46" s="726">
        <v>398</v>
      </c>
      <c r="F46" s="204" t="s">
        <v>1159</v>
      </c>
      <c r="H46" s="307">
        <v>3.0300000000000001E-2</v>
      </c>
    </row>
    <row r="47" spans="2:8">
      <c r="B47" s="206">
        <v>40</v>
      </c>
      <c r="F47" s="309" t="s">
        <v>1149</v>
      </c>
      <c r="H47" s="728">
        <v>3.0300000000000001E-2</v>
      </c>
    </row>
    <row r="48" spans="2:8">
      <c r="B48" s="206">
        <v>41</v>
      </c>
      <c r="D48" s="216" t="s">
        <v>1150</v>
      </c>
      <c r="H48" s="691"/>
    </row>
    <row r="49" spans="2:8">
      <c r="B49" s="206">
        <v>42</v>
      </c>
      <c r="E49" s="726">
        <v>301</v>
      </c>
      <c r="F49" s="227" t="s">
        <v>1152</v>
      </c>
      <c r="H49" s="691">
        <v>0.04</v>
      </c>
    </row>
    <row r="50" spans="2:8">
      <c r="B50" s="206">
        <v>43</v>
      </c>
      <c r="E50" s="726">
        <v>302</v>
      </c>
      <c r="F50" s="227" t="s">
        <v>1153</v>
      </c>
      <c r="H50" s="691">
        <v>0.04</v>
      </c>
    </row>
    <row r="51" spans="2:8">
      <c r="B51" s="206">
        <v>44</v>
      </c>
      <c r="E51" s="726">
        <v>303</v>
      </c>
      <c r="F51" s="227" t="s">
        <v>1151</v>
      </c>
      <c r="H51" s="691">
        <v>0.04</v>
      </c>
    </row>
    <row r="52" spans="2:8">
      <c r="B52" s="206">
        <v>45</v>
      </c>
      <c r="F52" s="309" t="s">
        <v>1154</v>
      </c>
      <c r="H52" s="310">
        <v>0.04</v>
      </c>
    </row>
    <row r="53" spans="2:8">
      <c r="B53" s="206">
        <v>46</v>
      </c>
      <c r="H53" s="691"/>
    </row>
    <row r="54" spans="2:8">
      <c r="B54" s="206">
        <v>47</v>
      </c>
      <c r="D54" s="216" t="s">
        <v>1172</v>
      </c>
      <c r="H54" s="691"/>
    </row>
    <row r="55" spans="2:8">
      <c r="B55" s="206">
        <v>48</v>
      </c>
      <c r="E55" s="216" t="s">
        <v>1157</v>
      </c>
      <c r="H55" s="691"/>
    </row>
    <row r="56" spans="2:8">
      <c r="B56" s="206">
        <v>49</v>
      </c>
      <c r="E56" s="726">
        <v>390.01</v>
      </c>
      <c r="F56" s="227" t="s">
        <v>1141</v>
      </c>
      <c r="H56" s="691">
        <v>1.9900000000000001E-2</v>
      </c>
    </row>
    <row r="57" spans="2:8">
      <c r="B57" s="206">
        <v>50</v>
      </c>
      <c r="E57" s="726">
        <v>391</v>
      </c>
      <c r="F57" s="204" t="s">
        <v>1142</v>
      </c>
      <c r="H57" s="691">
        <v>0.1245</v>
      </c>
    </row>
    <row r="58" spans="2:8">
      <c r="B58" s="206">
        <v>51</v>
      </c>
      <c r="E58" s="727">
        <v>392</v>
      </c>
      <c r="F58" s="204" t="s">
        <v>1145</v>
      </c>
      <c r="H58" s="691">
        <v>8.6400000000000005E-2</v>
      </c>
    </row>
    <row r="59" spans="2:8">
      <c r="B59" s="206">
        <v>52</v>
      </c>
      <c r="E59" s="726">
        <v>395</v>
      </c>
      <c r="F59" s="204" t="s">
        <v>1148</v>
      </c>
      <c r="H59" s="691">
        <v>0.05</v>
      </c>
    </row>
    <row r="60" spans="2:8">
      <c r="B60" s="206">
        <v>53</v>
      </c>
      <c r="E60" s="726">
        <v>397</v>
      </c>
      <c r="F60" s="204" t="s">
        <v>1155</v>
      </c>
      <c r="H60" s="691">
        <v>6.6699999999999995E-2</v>
      </c>
    </row>
    <row r="61" spans="2:8">
      <c r="B61" s="206">
        <v>54</v>
      </c>
      <c r="E61" s="726">
        <v>397.1</v>
      </c>
      <c r="F61" s="204" t="s">
        <v>1156</v>
      </c>
      <c r="H61" s="691">
        <v>0.04</v>
      </c>
    </row>
    <row r="62" spans="2:8">
      <c r="B62" s="206">
        <v>55</v>
      </c>
      <c r="F62" s="309" t="s">
        <v>1149</v>
      </c>
      <c r="H62" s="728">
        <v>0.1206</v>
      </c>
    </row>
    <row r="63" spans="2:8">
      <c r="B63" s="206">
        <v>56</v>
      </c>
      <c r="H63" s="729"/>
    </row>
    <row r="64" spans="2:8">
      <c r="B64" s="206">
        <v>57</v>
      </c>
      <c r="E64" s="216" t="s">
        <v>1158</v>
      </c>
      <c r="H64" s="729"/>
    </row>
    <row r="65" spans="2:8">
      <c r="B65" s="206">
        <v>58</v>
      </c>
      <c r="E65" s="726">
        <v>390.01</v>
      </c>
      <c r="F65" s="227" t="s">
        <v>1197</v>
      </c>
      <c r="H65" s="729">
        <v>2.2499999999999999E-2</v>
      </c>
    </row>
    <row r="66" spans="2:8">
      <c r="B66" s="206">
        <v>59</v>
      </c>
      <c r="E66" s="726">
        <v>391</v>
      </c>
      <c r="F66" s="204" t="s">
        <v>1142</v>
      </c>
      <c r="H66" s="729">
        <v>8.1100000000000005E-2</v>
      </c>
    </row>
    <row r="67" spans="2:8">
      <c r="B67" s="206">
        <v>60</v>
      </c>
      <c r="E67" s="726">
        <v>392</v>
      </c>
      <c r="F67" s="204" t="s">
        <v>1196</v>
      </c>
      <c r="H67" s="729">
        <v>9.8299999999999998E-2</v>
      </c>
    </row>
    <row r="68" spans="2:8">
      <c r="B68" s="206">
        <v>61</v>
      </c>
      <c r="E68" s="726">
        <v>394</v>
      </c>
      <c r="F68" s="204" t="s">
        <v>1147</v>
      </c>
      <c r="H68" s="729">
        <v>0.04</v>
      </c>
    </row>
    <row r="69" spans="2:8">
      <c r="B69" s="206">
        <v>62</v>
      </c>
      <c r="E69" s="726">
        <v>397</v>
      </c>
      <c r="F69" s="204" t="s">
        <v>1160</v>
      </c>
      <c r="H69" s="729">
        <v>6.6699999999999995E-2</v>
      </c>
    </row>
    <row r="70" spans="2:8">
      <c r="B70" s="206">
        <v>63</v>
      </c>
      <c r="E70" s="726">
        <v>398</v>
      </c>
      <c r="F70" s="204" t="s">
        <v>1159</v>
      </c>
      <c r="H70" s="729">
        <v>0.05</v>
      </c>
    </row>
    <row r="71" spans="2:8">
      <c r="B71" s="206">
        <v>64</v>
      </c>
      <c r="F71" s="309" t="s">
        <v>1149</v>
      </c>
      <c r="H71" s="728">
        <v>7.9399999999999998E-2</v>
      </c>
    </row>
    <row r="72" spans="2:8">
      <c r="B72" s="206"/>
      <c r="H72" s="691"/>
    </row>
    <row r="73" spans="2:8" ht="16.350000000000001" customHeight="1">
      <c r="B73" s="381" t="s">
        <v>174</v>
      </c>
      <c r="D73" s="216"/>
      <c r="H73" s="308"/>
    </row>
    <row r="74" spans="2:8" ht="27.75" customHeight="1">
      <c r="B74" s="421" t="s">
        <v>79</v>
      </c>
      <c r="C74" s="796" t="s">
        <v>1195</v>
      </c>
      <c r="D74" s="796"/>
      <c r="E74" s="796"/>
      <c r="F74" s="796"/>
      <c r="G74" s="796"/>
      <c r="H74" s="796"/>
    </row>
    <row r="75" spans="2:8" ht="16.350000000000001" customHeight="1">
      <c r="B75" s="206"/>
      <c r="D75" s="216"/>
      <c r="H75" s="308"/>
    </row>
    <row r="76" spans="2:8" ht="16.350000000000001" customHeight="1">
      <c r="B76" s="206"/>
      <c r="D76" s="216"/>
      <c r="H76" s="308"/>
    </row>
    <row r="77" spans="2:8" ht="16.350000000000001" customHeight="1">
      <c r="B77" s="206"/>
      <c r="D77" s="216"/>
      <c r="H77" s="308"/>
    </row>
    <row r="78" spans="2:8" ht="16.350000000000001" customHeight="1">
      <c r="B78" s="206"/>
      <c r="D78" s="216"/>
      <c r="H78" s="308"/>
    </row>
    <row r="79" spans="2:8" ht="16.350000000000001" customHeight="1">
      <c r="B79" s="206"/>
      <c r="D79" s="216"/>
      <c r="H79" s="308"/>
    </row>
    <row r="80" spans="2:8" ht="16.350000000000001" customHeight="1">
      <c r="B80" s="206"/>
      <c r="D80" s="216"/>
      <c r="H80" s="308"/>
    </row>
    <row r="81" spans="2:8" ht="16.350000000000001" customHeight="1">
      <c r="B81" s="206"/>
      <c r="D81" s="216"/>
      <c r="H81" s="308"/>
    </row>
    <row r="82" spans="2:8" ht="16.350000000000001" customHeight="1">
      <c r="B82" s="206"/>
      <c r="D82" s="216"/>
      <c r="H82" s="308"/>
    </row>
    <row r="83" spans="2:8" ht="16.350000000000001" customHeight="1">
      <c r="B83" s="206"/>
      <c r="D83" s="216"/>
      <c r="H83" s="308"/>
    </row>
    <row r="84" spans="2:8" ht="16.350000000000001" customHeight="1">
      <c r="B84" s="206"/>
      <c r="D84" s="216"/>
      <c r="H84" s="308"/>
    </row>
    <row r="85" spans="2:8" ht="16.350000000000001" customHeight="1"/>
    <row r="86" spans="2:8" ht="16.350000000000001" customHeight="1"/>
    <row r="87" spans="2:8" ht="16.350000000000001" customHeight="1"/>
    <row r="88" spans="2:8" ht="16.350000000000001" customHeight="1"/>
  </sheetData>
  <mergeCells count="5">
    <mergeCell ref="C74:H74"/>
    <mergeCell ref="A5:H5"/>
    <mergeCell ref="A1:H1"/>
    <mergeCell ref="A2:H2"/>
    <mergeCell ref="A3:H3"/>
  </mergeCells>
  <printOptions horizontalCentered="1"/>
  <pageMargins left="0.75" right="0.75" top="0.5" bottom="0.25" header="0.5" footer="0.5"/>
  <pageSetup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39997558519241921"/>
    <pageSetUpPr fitToPage="1"/>
  </sheetPr>
  <dimension ref="A1:H34"/>
  <sheetViews>
    <sheetView workbookViewId="0">
      <selection sqref="A1:G1"/>
    </sheetView>
  </sheetViews>
  <sheetFormatPr defaultColWidth="7.109375" defaultRowHeight="12.75"/>
  <cols>
    <col min="1" max="1" width="2.109375" style="204" customWidth="1"/>
    <col min="2" max="2" width="4.77734375" style="204" customWidth="1"/>
    <col min="3" max="3" width="11.21875" style="204" customWidth="1"/>
    <col min="4" max="4" width="9.44140625" style="204" bestFit="1" customWidth="1"/>
    <col min="5" max="5" width="11.21875" style="204" customWidth="1"/>
    <col min="6" max="6" width="13" style="204" customWidth="1"/>
    <col min="7" max="7" width="9.44140625" style="204" customWidth="1"/>
    <col min="8" max="8" width="8.21875" style="215" customWidth="1"/>
    <col min="9" max="249" width="7.109375" style="204"/>
    <col min="250" max="250" width="10.21875" style="204" customWidth="1"/>
    <col min="251" max="251" width="3.5546875" style="204" customWidth="1"/>
    <col min="252" max="253" width="1.77734375" style="204" customWidth="1"/>
    <col min="254" max="254" width="4" style="204" customWidth="1"/>
    <col min="255" max="255" width="24.21875" style="204" customWidth="1"/>
    <col min="256" max="256" width="1.77734375" style="204" customWidth="1"/>
    <col min="257" max="258" width="8.21875" style="204" customWidth="1"/>
    <col min="259" max="505" width="7.109375" style="204"/>
    <col min="506" max="506" width="10.21875" style="204" customWidth="1"/>
    <col min="507" max="507" width="3.5546875" style="204" customWidth="1"/>
    <col min="508" max="509" width="1.77734375" style="204" customWidth="1"/>
    <col min="510" max="510" width="4" style="204" customWidth="1"/>
    <col min="511" max="511" width="24.21875" style="204" customWidth="1"/>
    <col min="512" max="512" width="1.77734375" style="204" customWidth="1"/>
    <col min="513" max="514" width="8.21875" style="204" customWidth="1"/>
    <col min="515" max="761" width="7.109375" style="204"/>
    <col min="762" max="762" width="10.21875" style="204" customWidth="1"/>
    <col min="763" max="763" width="3.5546875" style="204" customWidth="1"/>
    <col min="764" max="765" width="1.77734375" style="204" customWidth="1"/>
    <col min="766" max="766" width="4" style="204" customWidth="1"/>
    <col min="767" max="767" width="24.21875" style="204" customWidth="1"/>
    <col min="768" max="768" width="1.77734375" style="204" customWidth="1"/>
    <col min="769" max="770" width="8.21875" style="204" customWidth="1"/>
    <col min="771" max="1017" width="7.109375" style="204"/>
    <col min="1018" max="1018" width="10.21875" style="204" customWidth="1"/>
    <col min="1019" max="1019" width="3.5546875" style="204" customWidth="1"/>
    <col min="1020" max="1021" width="1.77734375" style="204" customWidth="1"/>
    <col min="1022" max="1022" width="4" style="204" customWidth="1"/>
    <col min="1023" max="1023" width="24.21875" style="204" customWidth="1"/>
    <col min="1024" max="1024" width="1.77734375" style="204" customWidth="1"/>
    <col min="1025" max="1026" width="8.21875" style="204" customWidth="1"/>
    <col min="1027" max="1273" width="7.109375" style="204"/>
    <col min="1274" max="1274" width="10.21875" style="204" customWidth="1"/>
    <col min="1275" max="1275" width="3.5546875" style="204" customWidth="1"/>
    <col min="1276" max="1277" width="1.77734375" style="204" customWidth="1"/>
    <col min="1278" max="1278" width="4" style="204" customWidth="1"/>
    <col min="1279" max="1279" width="24.21875" style="204" customWidth="1"/>
    <col min="1280" max="1280" width="1.77734375" style="204" customWidth="1"/>
    <col min="1281" max="1282" width="8.21875" style="204" customWidth="1"/>
    <col min="1283" max="1529" width="7.109375" style="204"/>
    <col min="1530" max="1530" width="10.21875" style="204" customWidth="1"/>
    <col min="1531" max="1531" width="3.5546875" style="204" customWidth="1"/>
    <col min="1532" max="1533" width="1.77734375" style="204" customWidth="1"/>
    <col min="1534" max="1534" width="4" style="204" customWidth="1"/>
    <col min="1535" max="1535" width="24.21875" style="204" customWidth="1"/>
    <col min="1536" max="1536" width="1.77734375" style="204" customWidth="1"/>
    <col min="1537" max="1538" width="8.21875" style="204" customWidth="1"/>
    <col min="1539" max="1785" width="7.109375" style="204"/>
    <col min="1786" max="1786" width="10.21875" style="204" customWidth="1"/>
    <col min="1787" max="1787" width="3.5546875" style="204" customWidth="1"/>
    <col min="1788" max="1789" width="1.77734375" style="204" customWidth="1"/>
    <col min="1790" max="1790" width="4" style="204" customWidth="1"/>
    <col min="1791" max="1791" width="24.21875" style="204" customWidth="1"/>
    <col min="1792" max="1792" width="1.77734375" style="204" customWidth="1"/>
    <col min="1793" max="1794" width="8.21875" style="204" customWidth="1"/>
    <col min="1795" max="2041" width="7.109375" style="204"/>
    <col min="2042" max="2042" width="10.21875" style="204" customWidth="1"/>
    <col min="2043" max="2043" width="3.5546875" style="204" customWidth="1"/>
    <col min="2044" max="2045" width="1.77734375" style="204" customWidth="1"/>
    <col min="2046" max="2046" width="4" style="204" customWidth="1"/>
    <col min="2047" max="2047" width="24.21875" style="204" customWidth="1"/>
    <col min="2048" max="2048" width="1.77734375" style="204" customWidth="1"/>
    <col min="2049" max="2050" width="8.21875" style="204" customWidth="1"/>
    <col min="2051" max="2297" width="7.109375" style="204"/>
    <col min="2298" max="2298" width="10.21875" style="204" customWidth="1"/>
    <col min="2299" max="2299" width="3.5546875" style="204" customWidth="1"/>
    <col min="2300" max="2301" width="1.77734375" style="204" customWidth="1"/>
    <col min="2302" max="2302" width="4" style="204" customWidth="1"/>
    <col min="2303" max="2303" width="24.21875" style="204" customWidth="1"/>
    <col min="2304" max="2304" width="1.77734375" style="204" customWidth="1"/>
    <col min="2305" max="2306" width="8.21875" style="204" customWidth="1"/>
    <col min="2307" max="2553" width="7.109375" style="204"/>
    <col min="2554" max="2554" width="10.21875" style="204" customWidth="1"/>
    <col min="2555" max="2555" width="3.5546875" style="204" customWidth="1"/>
    <col min="2556" max="2557" width="1.77734375" style="204" customWidth="1"/>
    <col min="2558" max="2558" width="4" style="204" customWidth="1"/>
    <col min="2559" max="2559" width="24.21875" style="204" customWidth="1"/>
    <col min="2560" max="2560" width="1.77734375" style="204" customWidth="1"/>
    <col min="2561" max="2562" width="8.21875" style="204" customWidth="1"/>
    <col min="2563" max="2809" width="7.109375" style="204"/>
    <col min="2810" max="2810" width="10.21875" style="204" customWidth="1"/>
    <col min="2811" max="2811" width="3.5546875" style="204" customWidth="1"/>
    <col min="2812" max="2813" width="1.77734375" style="204" customWidth="1"/>
    <col min="2814" max="2814" width="4" style="204" customWidth="1"/>
    <col min="2815" max="2815" width="24.21875" style="204" customWidth="1"/>
    <col min="2816" max="2816" width="1.77734375" style="204" customWidth="1"/>
    <col min="2817" max="2818" width="8.21875" style="204" customWidth="1"/>
    <col min="2819" max="3065" width="7.109375" style="204"/>
    <col min="3066" max="3066" width="10.21875" style="204" customWidth="1"/>
    <col min="3067" max="3067" width="3.5546875" style="204" customWidth="1"/>
    <col min="3068" max="3069" width="1.77734375" style="204" customWidth="1"/>
    <col min="3070" max="3070" width="4" style="204" customWidth="1"/>
    <col min="3071" max="3071" width="24.21875" style="204" customWidth="1"/>
    <col min="3072" max="3072" width="1.77734375" style="204" customWidth="1"/>
    <col min="3073" max="3074" width="8.21875" style="204" customWidth="1"/>
    <col min="3075" max="3321" width="7.109375" style="204"/>
    <col min="3322" max="3322" width="10.21875" style="204" customWidth="1"/>
    <col min="3323" max="3323" width="3.5546875" style="204" customWidth="1"/>
    <col min="3324" max="3325" width="1.77734375" style="204" customWidth="1"/>
    <col min="3326" max="3326" width="4" style="204" customWidth="1"/>
    <col min="3327" max="3327" width="24.21875" style="204" customWidth="1"/>
    <col min="3328" max="3328" width="1.77734375" style="204" customWidth="1"/>
    <col min="3329" max="3330" width="8.21875" style="204" customWidth="1"/>
    <col min="3331" max="3577" width="7.109375" style="204"/>
    <col min="3578" max="3578" width="10.21875" style="204" customWidth="1"/>
    <col min="3579" max="3579" width="3.5546875" style="204" customWidth="1"/>
    <col min="3580" max="3581" width="1.77734375" style="204" customWidth="1"/>
    <col min="3582" max="3582" width="4" style="204" customWidth="1"/>
    <col min="3583" max="3583" width="24.21875" style="204" customWidth="1"/>
    <col min="3584" max="3584" width="1.77734375" style="204" customWidth="1"/>
    <col min="3585" max="3586" width="8.21875" style="204" customWidth="1"/>
    <col min="3587" max="3833" width="7.109375" style="204"/>
    <col min="3834" max="3834" width="10.21875" style="204" customWidth="1"/>
    <col min="3835" max="3835" width="3.5546875" style="204" customWidth="1"/>
    <col min="3836" max="3837" width="1.77734375" style="204" customWidth="1"/>
    <col min="3838" max="3838" width="4" style="204" customWidth="1"/>
    <col min="3839" max="3839" width="24.21875" style="204" customWidth="1"/>
    <col min="3840" max="3840" width="1.77734375" style="204" customWidth="1"/>
    <col min="3841" max="3842" width="8.21875" style="204" customWidth="1"/>
    <col min="3843" max="4089" width="7.109375" style="204"/>
    <col min="4090" max="4090" width="10.21875" style="204" customWidth="1"/>
    <col min="4091" max="4091" width="3.5546875" style="204" customWidth="1"/>
    <col min="4092" max="4093" width="1.77734375" style="204" customWidth="1"/>
    <col min="4094" max="4094" width="4" style="204" customWidth="1"/>
    <col min="4095" max="4095" width="24.21875" style="204" customWidth="1"/>
    <col min="4096" max="4096" width="1.77734375" style="204" customWidth="1"/>
    <col min="4097" max="4098" width="8.21875" style="204" customWidth="1"/>
    <col min="4099" max="4345" width="7.109375" style="204"/>
    <col min="4346" max="4346" width="10.21875" style="204" customWidth="1"/>
    <col min="4347" max="4347" width="3.5546875" style="204" customWidth="1"/>
    <col min="4348" max="4349" width="1.77734375" style="204" customWidth="1"/>
    <col min="4350" max="4350" width="4" style="204" customWidth="1"/>
    <col min="4351" max="4351" width="24.21875" style="204" customWidth="1"/>
    <col min="4352" max="4352" width="1.77734375" style="204" customWidth="1"/>
    <col min="4353" max="4354" width="8.21875" style="204" customWidth="1"/>
    <col min="4355" max="4601" width="7.109375" style="204"/>
    <col min="4602" max="4602" width="10.21875" style="204" customWidth="1"/>
    <col min="4603" max="4603" width="3.5546875" style="204" customWidth="1"/>
    <col min="4604" max="4605" width="1.77734375" style="204" customWidth="1"/>
    <col min="4606" max="4606" width="4" style="204" customWidth="1"/>
    <col min="4607" max="4607" width="24.21875" style="204" customWidth="1"/>
    <col min="4608" max="4608" width="1.77734375" style="204" customWidth="1"/>
    <col min="4609" max="4610" width="8.21875" style="204" customWidth="1"/>
    <col min="4611" max="4857" width="7.109375" style="204"/>
    <col min="4858" max="4858" width="10.21875" style="204" customWidth="1"/>
    <col min="4859" max="4859" width="3.5546875" style="204" customWidth="1"/>
    <col min="4860" max="4861" width="1.77734375" style="204" customWidth="1"/>
    <col min="4862" max="4862" width="4" style="204" customWidth="1"/>
    <col min="4863" max="4863" width="24.21875" style="204" customWidth="1"/>
    <col min="4864" max="4864" width="1.77734375" style="204" customWidth="1"/>
    <col min="4865" max="4866" width="8.21875" style="204" customWidth="1"/>
    <col min="4867" max="5113" width="7.109375" style="204"/>
    <col min="5114" max="5114" width="10.21875" style="204" customWidth="1"/>
    <col min="5115" max="5115" width="3.5546875" style="204" customWidth="1"/>
    <col min="5116" max="5117" width="1.77734375" style="204" customWidth="1"/>
    <col min="5118" max="5118" width="4" style="204" customWidth="1"/>
    <col min="5119" max="5119" width="24.21875" style="204" customWidth="1"/>
    <col min="5120" max="5120" width="1.77734375" style="204" customWidth="1"/>
    <col min="5121" max="5122" width="8.21875" style="204" customWidth="1"/>
    <col min="5123" max="5369" width="7.109375" style="204"/>
    <col min="5370" max="5370" width="10.21875" style="204" customWidth="1"/>
    <col min="5371" max="5371" width="3.5546875" style="204" customWidth="1"/>
    <col min="5372" max="5373" width="1.77734375" style="204" customWidth="1"/>
    <col min="5374" max="5374" width="4" style="204" customWidth="1"/>
    <col min="5375" max="5375" width="24.21875" style="204" customWidth="1"/>
    <col min="5376" max="5376" width="1.77734375" style="204" customWidth="1"/>
    <col min="5377" max="5378" width="8.21875" style="204" customWidth="1"/>
    <col min="5379" max="5625" width="7.109375" style="204"/>
    <col min="5626" max="5626" width="10.21875" style="204" customWidth="1"/>
    <col min="5627" max="5627" width="3.5546875" style="204" customWidth="1"/>
    <col min="5628" max="5629" width="1.77734375" style="204" customWidth="1"/>
    <col min="5630" max="5630" width="4" style="204" customWidth="1"/>
    <col min="5631" max="5631" width="24.21875" style="204" customWidth="1"/>
    <col min="5632" max="5632" width="1.77734375" style="204" customWidth="1"/>
    <col min="5633" max="5634" width="8.21875" style="204" customWidth="1"/>
    <col min="5635" max="5881" width="7.109375" style="204"/>
    <col min="5882" max="5882" width="10.21875" style="204" customWidth="1"/>
    <col min="5883" max="5883" width="3.5546875" style="204" customWidth="1"/>
    <col min="5884" max="5885" width="1.77734375" style="204" customWidth="1"/>
    <col min="5886" max="5886" width="4" style="204" customWidth="1"/>
    <col min="5887" max="5887" width="24.21875" style="204" customWidth="1"/>
    <col min="5888" max="5888" width="1.77734375" style="204" customWidth="1"/>
    <col min="5889" max="5890" width="8.21875" style="204" customWidth="1"/>
    <col min="5891" max="6137" width="7.109375" style="204"/>
    <col min="6138" max="6138" width="10.21875" style="204" customWidth="1"/>
    <col min="6139" max="6139" width="3.5546875" style="204" customWidth="1"/>
    <col min="6140" max="6141" width="1.77734375" style="204" customWidth="1"/>
    <col min="6142" max="6142" width="4" style="204" customWidth="1"/>
    <col min="6143" max="6143" width="24.21875" style="204" customWidth="1"/>
    <col min="6144" max="6144" width="1.77734375" style="204" customWidth="1"/>
    <col min="6145" max="6146" width="8.21875" style="204" customWidth="1"/>
    <col min="6147" max="6393" width="7.109375" style="204"/>
    <col min="6394" max="6394" width="10.21875" style="204" customWidth="1"/>
    <col min="6395" max="6395" width="3.5546875" style="204" customWidth="1"/>
    <col min="6396" max="6397" width="1.77734375" style="204" customWidth="1"/>
    <col min="6398" max="6398" width="4" style="204" customWidth="1"/>
    <col min="6399" max="6399" width="24.21875" style="204" customWidth="1"/>
    <col min="6400" max="6400" width="1.77734375" style="204" customWidth="1"/>
    <col min="6401" max="6402" width="8.21875" style="204" customWidth="1"/>
    <col min="6403" max="6649" width="7.109375" style="204"/>
    <col min="6650" max="6650" width="10.21875" style="204" customWidth="1"/>
    <col min="6651" max="6651" width="3.5546875" style="204" customWidth="1"/>
    <col min="6652" max="6653" width="1.77734375" style="204" customWidth="1"/>
    <col min="6654" max="6654" width="4" style="204" customWidth="1"/>
    <col min="6655" max="6655" width="24.21875" style="204" customWidth="1"/>
    <col min="6656" max="6656" width="1.77734375" style="204" customWidth="1"/>
    <col min="6657" max="6658" width="8.21875" style="204" customWidth="1"/>
    <col min="6659" max="6905" width="7.109375" style="204"/>
    <col min="6906" max="6906" width="10.21875" style="204" customWidth="1"/>
    <col min="6907" max="6907" width="3.5546875" style="204" customWidth="1"/>
    <col min="6908" max="6909" width="1.77734375" style="204" customWidth="1"/>
    <col min="6910" max="6910" width="4" style="204" customWidth="1"/>
    <col min="6911" max="6911" width="24.21875" style="204" customWidth="1"/>
    <col min="6912" max="6912" width="1.77734375" style="204" customWidth="1"/>
    <col min="6913" max="6914" width="8.21875" style="204" customWidth="1"/>
    <col min="6915" max="7161" width="7.109375" style="204"/>
    <col min="7162" max="7162" width="10.21875" style="204" customWidth="1"/>
    <col min="7163" max="7163" width="3.5546875" style="204" customWidth="1"/>
    <col min="7164" max="7165" width="1.77734375" style="204" customWidth="1"/>
    <col min="7166" max="7166" width="4" style="204" customWidth="1"/>
    <col min="7167" max="7167" width="24.21875" style="204" customWidth="1"/>
    <col min="7168" max="7168" width="1.77734375" style="204" customWidth="1"/>
    <col min="7169" max="7170" width="8.21875" style="204" customWidth="1"/>
    <col min="7171" max="7417" width="7.109375" style="204"/>
    <col min="7418" max="7418" width="10.21875" style="204" customWidth="1"/>
    <col min="7419" max="7419" width="3.5546875" style="204" customWidth="1"/>
    <col min="7420" max="7421" width="1.77734375" style="204" customWidth="1"/>
    <col min="7422" max="7422" width="4" style="204" customWidth="1"/>
    <col min="7423" max="7423" width="24.21875" style="204" customWidth="1"/>
    <col min="7424" max="7424" width="1.77734375" style="204" customWidth="1"/>
    <col min="7425" max="7426" width="8.21875" style="204" customWidth="1"/>
    <col min="7427" max="7673" width="7.109375" style="204"/>
    <col min="7674" max="7674" width="10.21875" style="204" customWidth="1"/>
    <col min="7675" max="7675" width="3.5546875" style="204" customWidth="1"/>
    <col min="7676" max="7677" width="1.77734375" style="204" customWidth="1"/>
    <col min="7678" max="7678" width="4" style="204" customWidth="1"/>
    <col min="7679" max="7679" width="24.21875" style="204" customWidth="1"/>
    <col min="7680" max="7680" width="1.77734375" style="204" customWidth="1"/>
    <col min="7681" max="7682" width="8.21875" style="204" customWidth="1"/>
    <col min="7683" max="7929" width="7.109375" style="204"/>
    <col min="7930" max="7930" width="10.21875" style="204" customWidth="1"/>
    <col min="7931" max="7931" width="3.5546875" style="204" customWidth="1"/>
    <col min="7932" max="7933" width="1.77734375" style="204" customWidth="1"/>
    <col min="7934" max="7934" width="4" style="204" customWidth="1"/>
    <col min="7935" max="7935" width="24.21875" style="204" customWidth="1"/>
    <col min="7936" max="7936" width="1.77734375" style="204" customWidth="1"/>
    <col min="7937" max="7938" width="8.21875" style="204" customWidth="1"/>
    <col min="7939" max="8185" width="7.109375" style="204"/>
    <col min="8186" max="8186" width="10.21875" style="204" customWidth="1"/>
    <col min="8187" max="8187" width="3.5546875" style="204" customWidth="1"/>
    <col min="8188" max="8189" width="1.77734375" style="204" customWidth="1"/>
    <col min="8190" max="8190" width="4" style="204" customWidth="1"/>
    <col min="8191" max="8191" width="24.21875" style="204" customWidth="1"/>
    <col min="8192" max="8192" width="1.77734375" style="204" customWidth="1"/>
    <col min="8193" max="8194" width="8.21875" style="204" customWidth="1"/>
    <col min="8195" max="8441" width="7.109375" style="204"/>
    <col min="8442" max="8442" width="10.21875" style="204" customWidth="1"/>
    <col min="8443" max="8443" width="3.5546875" style="204" customWidth="1"/>
    <col min="8444" max="8445" width="1.77734375" style="204" customWidth="1"/>
    <col min="8446" max="8446" width="4" style="204" customWidth="1"/>
    <col min="8447" max="8447" width="24.21875" style="204" customWidth="1"/>
    <col min="8448" max="8448" width="1.77734375" style="204" customWidth="1"/>
    <col min="8449" max="8450" width="8.21875" style="204" customWidth="1"/>
    <col min="8451" max="8697" width="7.109375" style="204"/>
    <col min="8698" max="8698" width="10.21875" style="204" customWidth="1"/>
    <col min="8699" max="8699" width="3.5546875" style="204" customWidth="1"/>
    <col min="8700" max="8701" width="1.77734375" style="204" customWidth="1"/>
    <col min="8702" max="8702" width="4" style="204" customWidth="1"/>
    <col min="8703" max="8703" width="24.21875" style="204" customWidth="1"/>
    <col min="8704" max="8704" width="1.77734375" style="204" customWidth="1"/>
    <col min="8705" max="8706" width="8.21875" style="204" customWidth="1"/>
    <col min="8707" max="8953" width="7.109375" style="204"/>
    <col min="8954" max="8954" width="10.21875" style="204" customWidth="1"/>
    <col min="8955" max="8955" width="3.5546875" style="204" customWidth="1"/>
    <col min="8956" max="8957" width="1.77734375" style="204" customWidth="1"/>
    <col min="8958" max="8958" width="4" style="204" customWidth="1"/>
    <col min="8959" max="8959" width="24.21875" style="204" customWidth="1"/>
    <col min="8960" max="8960" width="1.77734375" style="204" customWidth="1"/>
    <col min="8961" max="8962" width="8.21875" style="204" customWidth="1"/>
    <col min="8963" max="9209" width="7.109375" style="204"/>
    <col min="9210" max="9210" width="10.21875" style="204" customWidth="1"/>
    <col min="9211" max="9211" width="3.5546875" style="204" customWidth="1"/>
    <col min="9212" max="9213" width="1.77734375" style="204" customWidth="1"/>
    <col min="9214" max="9214" width="4" style="204" customWidth="1"/>
    <col min="9215" max="9215" width="24.21875" style="204" customWidth="1"/>
    <col min="9216" max="9216" width="1.77734375" style="204" customWidth="1"/>
    <col min="9217" max="9218" width="8.21875" style="204" customWidth="1"/>
    <col min="9219" max="9465" width="7.109375" style="204"/>
    <col min="9466" max="9466" width="10.21875" style="204" customWidth="1"/>
    <col min="9467" max="9467" width="3.5546875" style="204" customWidth="1"/>
    <col min="9468" max="9469" width="1.77734375" style="204" customWidth="1"/>
    <col min="9470" max="9470" width="4" style="204" customWidth="1"/>
    <col min="9471" max="9471" width="24.21875" style="204" customWidth="1"/>
    <col min="9472" max="9472" width="1.77734375" style="204" customWidth="1"/>
    <col min="9473" max="9474" width="8.21875" style="204" customWidth="1"/>
    <col min="9475" max="9721" width="7.109375" style="204"/>
    <col min="9722" max="9722" width="10.21875" style="204" customWidth="1"/>
    <col min="9723" max="9723" width="3.5546875" style="204" customWidth="1"/>
    <col min="9724" max="9725" width="1.77734375" style="204" customWidth="1"/>
    <col min="9726" max="9726" width="4" style="204" customWidth="1"/>
    <col min="9727" max="9727" width="24.21875" style="204" customWidth="1"/>
    <col min="9728" max="9728" width="1.77734375" style="204" customWidth="1"/>
    <col min="9729" max="9730" width="8.21875" style="204" customWidth="1"/>
    <col min="9731" max="9977" width="7.109375" style="204"/>
    <col min="9978" max="9978" width="10.21875" style="204" customWidth="1"/>
    <col min="9979" max="9979" width="3.5546875" style="204" customWidth="1"/>
    <col min="9980" max="9981" width="1.77734375" style="204" customWidth="1"/>
    <col min="9982" max="9982" width="4" style="204" customWidth="1"/>
    <col min="9983" max="9983" width="24.21875" style="204" customWidth="1"/>
    <col min="9984" max="9984" width="1.77734375" style="204" customWidth="1"/>
    <col min="9985" max="9986" width="8.21875" style="204" customWidth="1"/>
    <col min="9987" max="10233" width="7.109375" style="204"/>
    <col min="10234" max="10234" width="10.21875" style="204" customWidth="1"/>
    <col min="10235" max="10235" width="3.5546875" style="204" customWidth="1"/>
    <col min="10236" max="10237" width="1.77734375" style="204" customWidth="1"/>
    <col min="10238" max="10238" width="4" style="204" customWidth="1"/>
    <col min="10239" max="10239" width="24.21875" style="204" customWidth="1"/>
    <col min="10240" max="10240" width="1.77734375" style="204" customWidth="1"/>
    <col min="10241" max="10242" width="8.21875" style="204" customWidth="1"/>
    <col min="10243" max="10489" width="7.109375" style="204"/>
    <col min="10490" max="10490" width="10.21875" style="204" customWidth="1"/>
    <col min="10491" max="10491" width="3.5546875" style="204" customWidth="1"/>
    <col min="10492" max="10493" width="1.77734375" style="204" customWidth="1"/>
    <col min="10494" max="10494" width="4" style="204" customWidth="1"/>
    <col min="10495" max="10495" width="24.21875" style="204" customWidth="1"/>
    <col min="10496" max="10496" width="1.77734375" style="204" customWidth="1"/>
    <col min="10497" max="10498" width="8.21875" style="204" customWidth="1"/>
    <col min="10499" max="10745" width="7.109375" style="204"/>
    <col min="10746" max="10746" width="10.21875" style="204" customWidth="1"/>
    <col min="10747" max="10747" width="3.5546875" style="204" customWidth="1"/>
    <col min="10748" max="10749" width="1.77734375" style="204" customWidth="1"/>
    <col min="10750" max="10750" width="4" style="204" customWidth="1"/>
    <col min="10751" max="10751" width="24.21875" style="204" customWidth="1"/>
    <col min="10752" max="10752" width="1.77734375" style="204" customWidth="1"/>
    <col min="10753" max="10754" width="8.21875" style="204" customWidth="1"/>
    <col min="10755" max="11001" width="7.109375" style="204"/>
    <col min="11002" max="11002" width="10.21875" style="204" customWidth="1"/>
    <col min="11003" max="11003" width="3.5546875" style="204" customWidth="1"/>
    <col min="11004" max="11005" width="1.77734375" style="204" customWidth="1"/>
    <col min="11006" max="11006" width="4" style="204" customWidth="1"/>
    <col min="11007" max="11007" width="24.21875" style="204" customWidth="1"/>
    <col min="11008" max="11008" width="1.77734375" style="204" customWidth="1"/>
    <col min="11009" max="11010" width="8.21875" style="204" customWidth="1"/>
    <col min="11011" max="11257" width="7.109375" style="204"/>
    <col min="11258" max="11258" width="10.21875" style="204" customWidth="1"/>
    <col min="11259" max="11259" width="3.5546875" style="204" customWidth="1"/>
    <col min="11260" max="11261" width="1.77734375" style="204" customWidth="1"/>
    <col min="11262" max="11262" width="4" style="204" customWidth="1"/>
    <col min="11263" max="11263" width="24.21875" style="204" customWidth="1"/>
    <col min="11264" max="11264" width="1.77734375" style="204" customWidth="1"/>
    <col min="11265" max="11266" width="8.21875" style="204" customWidth="1"/>
    <col min="11267" max="11513" width="7.109375" style="204"/>
    <col min="11514" max="11514" width="10.21875" style="204" customWidth="1"/>
    <col min="11515" max="11515" width="3.5546875" style="204" customWidth="1"/>
    <col min="11516" max="11517" width="1.77734375" style="204" customWidth="1"/>
    <col min="11518" max="11518" width="4" style="204" customWidth="1"/>
    <col min="11519" max="11519" width="24.21875" style="204" customWidth="1"/>
    <col min="11520" max="11520" width="1.77734375" style="204" customWidth="1"/>
    <col min="11521" max="11522" width="8.21875" style="204" customWidth="1"/>
    <col min="11523" max="11769" width="7.109375" style="204"/>
    <col min="11770" max="11770" width="10.21875" style="204" customWidth="1"/>
    <col min="11771" max="11771" width="3.5546875" style="204" customWidth="1"/>
    <col min="11772" max="11773" width="1.77734375" style="204" customWidth="1"/>
    <col min="11774" max="11774" width="4" style="204" customWidth="1"/>
    <col min="11775" max="11775" width="24.21875" style="204" customWidth="1"/>
    <col min="11776" max="11776" width="1.77734375" style="204" customWidth="1"/>
    <col min="11777" max="11778" width="8.21875" style="204" customWidth="1"/>
    <col min="11779" max="12025" width="7.109375" style="204"/>
    <col min="12026" max="12026" width="10.21875" style="204" customWidth="1"/>
    <col min="12027" max="12027" width="3.5546875" style="204" customWidth="1"/>
    <col min="12028" max="12029" width="1.77734375" style="204" customWidth="1"/>
    <col min="12030" max="12030" width="4" style="204" customWidth="1"/>
    <col min="12031" max="12031" width="24.21875" style="204" customWidth="1"/>
    <col min="12032" max="12032" width="1.77734375" style="204" customWidth="1"/>
    <col min="12033" max="12034" width="8.21875" style="204" customWidth="1"/>
    <col min="12035" max="12281" width="7.109375" style="204"/>
    <col min="12282" max="12282" width="10.21875" style="204" customWidth="1"/>
    <col min="12283" max="12283" width="3.5546875" style="204" customWidth="1"/>
    <col min="12284" max="12285" width="1.77734375" style="204" customWidth="1"/>
    <col min="12286" max="12286" width="4" style="204" customWidth="1"/>
    <col min="12287" max="12287" width="24.21875" style="204" customWidth="1"/>
    <col min="12288" max="12288" width="1.77734375" style="204" customWidth="1"/>
    <col min="12289" max="12290" width="8.21875" style="204" customWidth="1"/>
    <col min="12291" max="12537" width="7.109375" style="204"/>
    <col min="12538" max="12538" width="10.21875" style="204" customWidth="1"/>
    <col min="12539" max="12539" width="3.5546875" style="204" customWidth="1"/>
    <col min="12540" max="12541" width="1.77734375" style="204" customWidth="1"/>
    <col min="12542" max="12542" width="4" style="204" customWidth="1"/>
    <col min="12543" max="12543" width="24.21875" style="204" customWidth="1"/>
    <col min="12544" max="12544" width="1.77734375" style="204" customWidth="1"/>
    <col min="12545" max="12546" width="8.21875" style="204" customWidth="1"/>
    <col min="12547" max="12793" width="7.109375" style="204"/>
    <col min="12794" max="12794" width="10.21875" style="204" customWidth="1"/>
    <col min="12795" max="12795" width="3.5546875" style="204" customWidth="1"/>
    <col min="12796" max="12797" width="1.77734375" style="204" customWidth="1"/>
    <col min="12798" max="12798" width="4" style="204" customWidth="1"/>
    <col min="12799" max="12799" width="24.21875" style="204" customWidth="1"/>
    <col min="12800" max="12800" width="1.77734375" style="204" customWidth="1"/>
    <col min="12801" max="12802" width="8.21875" style="204" customWidth="1"/>
    <col min="12803" max="13049" width="7.109375" style="204"/>
    <col min="13050" max="13050" width="10.21875" style="204" customWidth="1"/>
    <col min="13051" max="13051" width="3.5546875" style="204" customWidth="1"/>
    <col min="13052" max="13053" width="1.77734375" style="204" customWidth="1"/>
    <col min="13054" max="13054" width="4" style="204" customWidth="1"/>
    <col min="13055" max="13055" width="24.21875" style="204" customWidth="1"/>
    <col min="13056" max="13056" width="1.77734375" style="204" customWidth="1"/>
    <col min="13057" max="13058" width="8.21875" style="204" customWidth="1"/>
    <col min="13059" max="13305" width="7.109375" style="204"/>
    <col min="13306" max="13306" width="10.21875" style="204" customWidth="1"/>
    <col min="13307" max="13307" width="3.5546875" style="204" customWidth="1"/>
    <col min="13308" max="13309" width="1.77734375" style="204" customWidth="1"/>
    <col min="13310" max="13310" width="4" style="204" customWidth="1"/>
    <col min="13311" max="13311" width="24.21875" style="204" customWidth="1"/>
    <col min="13312" max="13312" width="1.77734375" style="204" customWidth="1"/>
    <col min="13313" max="13314" width="8.21875" style="204" customWidth="1"/>
    <col min="13315" max="13561" width="7.109375" style="204"/>
    <col min="13562" max="13562" width="10.21875" style="204" customWidth="1"/>
    <col min="13563" max="13563" width="3.5546875" style="204" customWidth="1"/>
    <col min="13564" max="13565" width="1.77734375" style="204" customWidth="1"/>
    <col min="13566" max="13566" width="4" style="204" customWidth="1"/>
    <col min="13567" max="13567" width="24.21875" style="204" customWidth="1"/>
    <col min="13568" max="13568" width="1.77734375" style="204" customWidth="1"/>
    <col min="13569" max="13570" width="8.21875" style="204" customWidth="1"/>
    <col min="13571" max="13817" width="7.109375" style="204"/>
    <col min="13818" max="13818" width="10.21875" style="204" customWidth="1"/>
    <col min="13819" max="13819" width="3.5546875" style="204" customWidth="1"/>
    <col min="13820" max="13821" width="1.77734375" style="204" customWidth="1"/>
    <col min="13822" max="13822" width="4" style="204" customWidth="1"/>
    <col min="13823" max="13823" width="24.21875" style="204" customWidth="1"/>
    <col min="13824" max="13824" width="1.77734375" style="204" customWidth="1"/>
    <col min="13825" max="13826" width="8.21875" style="204" customWidth="1"/>
    <col min="13827" max="14073" width="7.109375" style="204"/>
    <col min="14074" max="14074" width="10.21875" style="204" customWidth="1"/>
    <col min="14075" max="14075" width="3.5546875" style="204" customWidth="1"/>
    <col min="14076" max="14077" width="1.77734375" style="204" customWidth="1"/>
    <col min="14078" max="14078" width="4" style="204" customWidth="1"/>
    <col min="14079" max="14079" width="24.21875" style="204" customWidth="1"/>
    <col min="14080" max="14080" width="1.77734375" style="204" customWidth="1"/>
    <col min="14081" max="14082" width="8.21875" style="204" customWidth="1"/>
    <col min="14083" max="14329" width="7.109375" style="204"/>
    <col min="14330" max="14330" width="10.21875" style="204" customWidth="1"/>
    <col min="14331" max="14331" width="3.5546875" style="204" customWidth="1"/>
    <col min="14332" max="14333" width="1.77734375" style="204" customWidth="1"/>
    <col min="14334" max="14334" width="4" style="204" customWidth="1"/>
    <col min="14335" max="14335" width="24.21875" style="204" customWidth="1"/>
    <col min="14336" max="14336" width="1.77734375" style="204" customWidth="1"/>
    <col min="14337" max="14338" width="8.21875" style="204" customWidth="1"/>
    <col min="14339" max="14585" width="7.109375" style="204"/>
    <col min="14586" max="14586" width="10.21875" style="204" customWidth="1"/>
    <col min="14587" max="14587" width="3.5546875" style="204" customWidth="1"/>
    <col min="14588" max="14589" width="1.77734375" style="204" customWidth="1"/>
    <col min="14590" max="14590" width="4" style="204" customWidth="1"/>
    <col min="14591" max="14591" width="24.21875" style="204" customWidth="1"/>
    <col min="14592" max="14592" width="1.77734375" style="204" customWidth="1"/>
    <col min="14593" max="14594" width="8.21875" style="204" customWidth="1"/>
    <col min="14595" max="14841" width="7.109375" style="204"/>
    <col min="14842" max="14842" width="10.21875" style="204" customWidth="1"/>
    <col min="14843" max="14843" width="3.5546875" style="204" customWidth="1"/>
    <col min="14844" max="14845" width="1.77734375" style="204" customWidth="1"/>
    <col min="14846" max="14846" width="4" style="204" customWidth="1"/>
    <col min="14847" max="14847" width="24.21875" style="204" customWidth="1"/>
    <col min="14848" max="14848" width="1.77734375" style="204" customWidth="1"/>
    <col min="14849" max="14850" width="8.21875" style="204" customWidth="1"/>
    <col min="14851" max="15097" width="7.109375" style="204"/>
    <col min="15098" max="15098" width="10.21875" style="204" customWidth="1"/>
    <col min="15099" max="15099" width="3.5546875" style="204" customWidth="1"/>
    <col min="15100" max="15101" width="1.77734375" style="204" customWidth="1"/>
    <col min="15102" max="15102" width="4" style="204" customWidth="1"/>
    <col min="15103" max="15103" width="24.21875" style="204" customWidth="1"/>
    <col min="15104" max="15104" width="1.77734375" style="204" customWidth="1"/>
    <col min="15105" max="15106" width="8.21875" style="204" customWidth="1"/>
    <col min="15107" max="15353" width="7.109375" style="204"/>
    <col min="15354" max="15354" width="10.21875" style="204" customWidth="1"/>
    <col min="15355" max="15355" width="3.5546875" style="204" customWidth="1"/>
    <col min="15356" max="15357" width="1.77734375" style="204" customWidth="1"/>
    <col min="15358" max="15358" width="4" style="204" customWidth="1"/>
    <col min="15359" max="15359" width="24.21875" style="204" customWidth="1"/>
    <col min="15360" max="15360" width="1.77734375" style="204" customWidth="1"/>
    <col min="15361" max="15362" width="8.21875" style="204" customWidth="1"/>
    <col min="15363" max="15609" width="7.109375" style="204"/>
    <col min="15610" max="15610" width="10.21875" style="204" customWidth="1"/>
    <col min="15611" max="15611" width="3.5546875" style="204" customWidth="1"/>
    <col min="15612" max="15613" width="1.77734375" style="204" customWidth="1"/>
    <col min="15614" max="15614" width="4" style="204" customWidth="1"/>
    <col min="15615" max="15615" width="24.21875" style="204" customWidth="1"/>
    <col min="15616" max="15616" width="1.77734375" style="204" customWidth="1"/>
    <col min="15617" max="15618" width="8.21875" style="204" customWidth="1"/>
    <col min="15619" max="15865" width="7.109375" style="204"/>
    <col min="15866" max="15866" width="10.21875" style="204" customWidth="1"/>
    <col min="15867" max="15867" width="3.5546875" style="204" customWidth="1"/>
    <col min="15868" max="15869" width="1.77734375" style="204" customWidth="1"/>
    <col min="15870" max="15870" width="4" style="204" customWidth="1"/>
    <col min="15871" max="15871" width="24.21875" style="204" customWidth="1"/>
    <col min="15872" max="15872" width="1.77734375" style="204" customWidth="1"/>
    <col min="15873" max="15874" width="8.21875" style="204" customWidth="1"/>
    <col min="15875" max="16121" width="7.109375" style="204"/>
    <col min="16122" max="16122" width="10.21875" style="204" customWidth="1"/>
    <col min="16123" max="16123" width="3.5546875" style="204" customWidth="1"/>
    <col min="16124" max="16125" width="1.77734375" style="204" customWidth="1"/>
    <col min="16126" max="16126" width="4" style="204" customWidth="1"/>
    <col min="16127" max="16127" width="24.21875" style="204" customWidth="1"/>
    <col min="16128" max="16128" width="1.77734375" style="204" customWidth="1"/>
    <col min="16129" max="16130" width="8.21875" style="204" customWidth="1"/>
    <col min="16131" max="16384" width="7.109375" style="204"/>
  </cols>
  <sheetData>
    <row r="1" spans="1:8" ht="14.25" customHeight="1">
      <c r="A1" s="784" t="s">
        <v>536</v>
      </c>
      <c r="B1" s="784"/>
      <c r="C1" s="784"/>
      <c r="D1" s="784"/>
      <c r="E1" s="784"/>
      <c r="F1" s="784"/>
      <c r="G1" s="784"/>
      <c r="H1" s="216"/>
    </row>
    <row r="2" spans="1:8">
      <c r="A2" s="784" t="s">
        <v>561</v>
      </c>
      <c r="B2" s="784"/>
      <c r="C2" s="784"/>
      <c r="D2" s="784"/>
      <c r="E2" s="784"/>
      <c r="F2" s="784"/>
      <c r="G2" s="784"/>
      <c r="H2" s="216"/>
    </row>
    <row r="3" spans="1:8">
      <c r="A3" s="785" t="str">
        <f>'Act Att-H'!C7</f>
        <v>Cheyenne Light, Fuel &amp; Power</v>
      </c>
      <c r="B3" s="785"/>
      <c r="C3" s="785"/>
      <c r="D3" s="785"/>
      <c r="E3" s="785"/>
      <c r="F3" s="785"/>
      <c r="G3" s="785"/>
      <c r="H3" s="228"/>
    </row>
    <row r="4" spans="1:8">
      <c r="F4" s="2"/>
      <c r="G4" s="205" t="s">
        <v>673</v>
      </c>
    </row>
    <row r="5" spans="1:8">
      <c r="A5" s="216"/>
      <c r="B5" s="216"/>
      <c r="C5" s="216"/>
      <c r="D5" s="216"/>
      <c r="E5" s="216"/>
      <c r="F5" s="216"/>
      <c r="G5" s="216"/>
      <c r="H5" s="216"/>
    </row>
    <row r="6" spans="1:8" ht="60.75" customHeight="1">
      <c r="B6" s="127" t="s">
        <v>4</v>
      </c>
      <c r="C6" s="127" t="s">
        <v>268</v>
      </c>
      <c r="D6" s="229" t="s">
        <v>269</v>
      </c>
      <c r="E6" s="229" t="s">
        <v>940</v>
      </c>
      <c r="F6" s="229" t="s">
        <v>562</v>
      </c>
      <c r="G6" s="229" t="s">
        <v>942</v>
      </c>
      <c r="H6" s="204"/>
    </row>
    <row r="7" spans="1:8" ht="15" customHeight="1">
      <c r="B7" s="225"/>
      <c r="C7" s="230" t="s">
        <v>157</v>
      </c>
      <c r="D7" s="231" t="s">
        <v>158</v>
      </c>
      <c r="E7" s="231" t="s">
        <v>159</v>
      </c>
      <c r="F7" s="231" t="s">
        <v>160</v>
      </c>
      <c r="G7" s="231" t="s">
        <v>161</v>
      </c>
      <c r="H7" s="204"/>
    </row>
    <row r="8" spans="1:8" ht="15" customHeight="1">
      <c r="B8" s="206">
        <v>1</v>
      </c>
      <c r="C8" s="419" t="s">
        <v>165</v>
      </c>
      <c r="D8" s="418">
        <v>2022</v>
      </c>
      <c r="E8" s="739">
        <v>253000</v>
      </c>
      <c r="F8" s="232">
        <f>E8</f>
        <v>253000</v>
      </c>
      <c r="G8" s="233"/>
      <c r="H8" s="204"/>
    </row>
    <row r="9" spans="1:8" ht="15" customHeight="1">
      <c r="B9" s="206">
        <v>2</v>
      </c>
      <c r="C9" s="419" t="s">
        <v>166</v>
      </c>
      <c r="D9" s="420">
        <f>D8</f>
        <v>2022</v>
      </c>
      <c r="E9" s="739">
        <v>262000</v>
      </c>
      <c r="F9" s="232">
        <f t="shared" ref="F9:F15" si="0">E9</f>
        <v>262000</v>
      </c>
      <c r="G9" s="233"/>
      <c r="H9" s="204"/>
    </row>
    <row r="10" spans="1:8" ht="15" customHeight="1">
      <c r="B10" s="206">
        <v>3</v>
      </c>
      <c r="C10" s="419" t="s">
        <v>516</v>
      </c>
      <c r="D10" s="420">
        <f t="shared" ref="D10:D19" si="1">D9</f>
        <v>2022</v>
      </c>
      <c r="E10" s="739">
        <v>259000</v>
      </c>
      <c r="F10" s="232">
        <f t="shared" si="0"/>
        <v>259000</v>
      </c>
      <c r="G10" s="233"/>
      <c r="H10" s="204"/>
    </row>
    <row r="11" spans="1:8" ht="15" customHeight="1">
      <c r="B11" s="206">
        <v>4</v>
      </c>
      <c r="C11" s="419" t="s">
        <v>167</v>
      </c>
      <c r="D11" s="420">
        <f t="shared" si="1"/>
        <v>2022</v>
      </c>
      <c r="E11" s="739">
        <v>248000</v>
      </c>
      <c r="F11" s="232">
        <f t="shared" si="0"/>
        <v>248000</v>
      </c>
      <c r="G11" s="233"/>
      <c r="H11" s="204"/>
    </row>
    <row r="12" spans="1:8" ht="15" customHeight="1">
      <c r="B12" s="206">
        <v>5</v>
      </c>
      <c r="C12" s="419" t="s">
        <v>168</v>
      </c>
      <c r="D12" s="420">
        <f t="shared" si="1"/>
        <v>2022</v>
      </c>
      <c r="E12" s="739">
        <v>243000</v>
      </c>
      <c r="F12" s="232">
        <f t="shared" si="0"/>
        <v>243000</v>
      </c>
      <c r="G12" s="233"/>
      <c r="H12" s="204"/>
    </row>
    <row r="13" spans="1:8" ht="15" customHeight="1">
      <c r="B13" s="206">
        <v>6</v>
      </c>
      <c r="C13" s="419" t="s">
        <v>169</v>
      </c>
      <c r="D13" s="420">
        <f t="shared" si="1"/>
        <v>2022</v>
      </c>
      <c r="E13" s="739">
        <v>282000</v>
      </c>
      <c r="F13" s="232">
        <f t="shared" si="0"/>
        <v>282000</v>
      </c>
      <c r="G13" s="233"/>
      <c r="H13" s="204"/>
    </row>
    <row r="14" spans="1:8" ht="15" customHeight="1">
      <c r="B14" s="206">
        <v>7</v>
      </c>
      <c r="C14" s="419" t="s">
        <v>170</v>
      </c>
      <c r="D14" s="420">
        <f t="shared" si="1"/>
        <v>2022</v>
      </c>
      <c r="E14" s="739">
        <v>294000</v>
      </c>
      <c r="F14" s="232">
        <f t="shared" si="0"/>
        <v>294000</v>
      </c>
      <c r="G14" s="233"/>
      <c r="H14" s="204"/>
    </row>
    <row r="15" spans="1:8" ht="15" customHeight="1">
      <c r="B15" s="206">
        <v>8</v>
      </c>
      <c r="C15" s="419" t="s">
        <v>517</v>
      </c>
      <c r="D15" s="420">
        <f t="shared" si="1"/>
        <v>2022</v>
      </c>
      <c r="E15" s="739">
        <v>293000</v>
      </c>
      <c r="F15" s="232">
        <f t="shared" si="0"/>
        <v>293000</v>
      </c>
      <c r="G15" s="233"/>
      <c r="H15" s="204"/>
    </row>
    <row r="16" spans="1:8" ht="15" customHeight="1">
      <c r="B16" s="206">
        <v>9</v>
      </c>
      <c r="C16" s="419" t="s">
        <v>171</v>
      </c>
      <c r="D16" s="420">
        <f t="shared" si="1"/>
        <v>2022</v>
      </c>
      <c r="E16" s="739">
        <v>294000</v>
      </c>
      <c r="F16" s="234"/>
      <c r="G16" s="235">
        <f>E16/F22</f>
        <v>1.1021555763823805</v>
      </c>
      <c r="H16" s="204"/>
    </row>
    <row r="17" spans="2:8" ht="15.75">
      <c r="B17" s="206">
        <v>10</v>
      </c>
      <c r="C17" s="419" t="s">
        <v>172</v>
      </c>
      <c r="D17" s="420">
        <f t="shared" si="1"/>
        <v>2022</v>
      </c>
      <c r="E17" s="739">
        <v>241000</v>
      </c>
      <c r="F17" s="234"/>
      <c r="G17" s="235">
        <f>E17/F22</f>
        <v>0.90346766635426434</v>
      </c>
      <c r="H17" s="204"/>
    </row>
    <row r="18" spans="2:8" ht="15.75">
      <c r="B18" s="206">
        <v>11</v>
      </c>
      <c r="C18" s="419" t="s">
        <v>173</v>
      </c>
      <c r="D18" s="420">
        <f t="shared" si="1"/>
        <v>2022</v>
      </c>
      <c r="E18" s="739">
        <v>263000</v>
      </c>
      <c r="F18" s="234"/>
      <c r="G18" s="235">
        <f>E18/F22</f>
        <v>0.98594189315838798</v>
      </c>
      <c r="H18" s="204"/>
    </row>
    <row r="19" spans="2:8" ht="15.75">
      <c r="B19" s="206">
        <v>12</v>
      </c>
      <c r="C19" s="419" t="s">
        <v>518</v>
      </c>
      <c r="D19" s="420">
        <f t="shared" si="1"/>
        <v>2022</v>
      </c>
      <c r="E19" s="739">
        <v>281000</v>
      </c>
      <c r="F19" s="234"/>
      <c r="G19" s="235">
        <f>E19/F22</f>
        <v>1.0534208059981256</v>
      </c>
      <c r="H19" s="204"/>
    </row>
    <row r="20" spans="2:8">
      <c r="B20" s="206">
        <v>13</v>
      </c>
      <c r="C20" s="236" t="s">
        <v>9</v>
      </c>
      <c r="D20" s="236"/>
      <c r="E20" s="237">
        <f t="shared" ref="E20" si="2">SUM(E8:E19)</f>
        <v>3213000</v>
      </c>
      <c r="G20" s="235"/>
      <c r="H20" s="204"/>
    </row>
    <row r="21" spans="2:8">
      <c r="B21" s="206">
        <v>14</v>
      </c>
      <c r="C21" s="236" t="s">
        <v>253</v>
      </c>
      <c r="D21" s="236"/>
      <c r="E21" s="238">
        <f t="shared" ref="E21" si="3">E20/12</f>
        <v>267750</v>
      </c>
      <c r="G21" s="239"/>
      <c r="H21" s="204"/>
    </row>
    <row r="22" spans="2:8">
      <c r="B22" s="206">
        <v>15</v>
      </c>
      <c r="C22" s="205" t="s">
        <v>563</v>
      </c>
      <c r="F22" s="232">
        <f>AVERAGE(F8:F15)</f>
        <v>266750</v>
      </c>
      <c r="G22" s="227"/>
      <c r="H22" s="204"/>
    </row>
    <row r="23" spans="2:8">
      <c r="B23" s="206"/>
      <c r="H23" s="226"/>
    </row>
    <row r="24" spans="2:8">
      <c r="B24" s="206" t="s">
        <v>174</v>
      </c>
      <c r="H24" s="226"/>
    </row>
    <row r="25" spans="2:8">
      <c r="B25" s="206" t="s">
        <v>79</v>
      </c>
      <c r="C25" s="204" t="s">
        <v>941</v>
      </c>
      <c r="H25" s="226"/>
    </row>
    <row r="26" spans="2:8">
      <c r="B26" s="206" t="s">
        <v>80</v>
      </c>
      <c r="C26" s="594" t="s">
        <v>943</v>
      </c>
      <c r="H26" s="226"/>
    </row>
    <row r="27" spans="2:8">
      <c r="B27" s="206"/>
      <c r="H27" s="226"/>
    </row>
    <row r="28" spans="2:8">
      <c r="B28" s="206"/>
      <c r="H28" s="226"/>
    </row>
    <row r="29" spans="2:8">
      <c r="B29" s="206"/>
      <c r="H29" s="226"/>
    </row>
    <row r="30" spans="2:8">
      <c r="B30" s="206"/>
      <c r="H30" s="226"/>
    </row>
    <row r="31" spans="2:8">
      <c r="B31" s="206"/>
      <c r="H31" s="226"/>
    </row>
    <row r="32" spans="2:8">
      <c r="B32" s="206"/>
      <c r="H32" s="226"/>
    </row>
    <row r="33" spans="2:5">
      <c r="B33" s="206"/>
    </row>
    <row r="34" spans="2:5">
      <c r="B34" s="206"/>
      <c r="E34" s="205"/>
    </row>
  </sheetData>
  <mergeCells count="3">
    <mergeCell ref="A1:G1"/>
    <mergeCell ref="A2:G2"/>
    <mergeCell ref="A3:G3"/>
  </mergeCells>
  <printOptions horizontalCentered="1"/>
  <pageMargins left="0.75" right="0.75" top="1" bottom="1" header="0.5" footer="0.5"/>
  <pageSetup orientation="portrait" r:id="rId1"/>
  <headerFooter alignWithMargins="0"/>
  <ignoredErrors>
    <ignoredError sqref="D9:D20"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39997558519241921"/>
  </sheetPr>
  <dimension ref="A1:P134"/>
  <sheetViews>
    <sheetView workbookViewId="0">
      <selection sqref="A1:O1"/>
    </sheetView>
  </sheetViews>
  <sheetFormatPr defaultColWidth="8.77734375" defaultRowHeight="12.75"/>
  <cols>
    <col min="1" max="1" width="5" style="1" bestFit="1" customWidth="1"/>
    <col min="2" max="2" width="6.109375" style="27" customWidth="1"/>
    <col min="3" max="6" width="12.77734375" style="2" customWidth="1"/>
    <col min="7" max="7" width="1.77734375" style="27" customWidth="1"/>
    <col min="8" max="15" width="12.77734375" style="2" customWidth="1"/>
    <col min="16" max="16" width="10.77734375" style="2" customWidth="1"/>
    <col min="17" max="16384" width="8.77734375" style="2"/>
  </cols>
  <sheetData>
    <row r="1" spans="1:16">
      <c r="A1" s="779" t="s">
        <v>685</v>
      </c>
      <c r="B1" s="779"/>
      <c r="C1" s="779"/>
      <c r="D1" s="779"/>
      <c r="E1" s="779"/>
      <c r="F1" s="779"/>
      <c r="G1" s="779"/>
      <c r="H1" s="779"/>
      <c r="I1" s="779"/>
      <c r="J1" s="779"/>
      <c r="K1" s="779"/>
      <c r="L1" s="779"/>
      <c r="M1" s="779"/>
      <c r="N1" s="779"/>
      <c r="O1" s="779"/>
    </row>
    <row r="2" spans="1:16">
      <c r="A2" s="799" t="s">
        <v>686</v>
      </c>
      <c r="B2" s="799"/>
      <c r="C2" s="799"/>
      <c r="D2" s="799"/>
      <c r="E2" s="799"/>
      <c r="F2" s="799"/>
      <c r="G2" s="799"/>
      <c r="H2" s="799"/>
      <c r="I2" s="799"/>
      <c r="J2" s="799"/>
      <c r="K2" s="799"/>
      <c r="L2" s="799"/>
      <c r="M2" s="799"/>
      <c r="N2" s="799"/>
      <c r="O2" s="799"/>
    </row>
    <row r="3" spans="1:16">
      <c r="A3" s="800" t="str">
        <f>'Act Att-H'!C7</f>
        <v>Cheyenne Light, Fuel &amp; Power</v>
      </c>
      <c r="B3" s="800"/>
      <c r="C3" s="800"/>
      <c r="D3" s="800"/>
      <c r="E3" s="800"/>
      <c r="F3" s="800"/>
      <c r="G3" s="800"/>
      <c r="H3" s="800"/>
      <c r="I3" s="800"/>
      <c r="J3" s="800"/>
      <c r="K3" s="800"/>
      <c r="L3" s="800"/>
      <c r="M3" s="800"/>
      <c r="N3" s="800"/>
      <c r="O3" s="800"/>
    </row>
    <row r="4" spans="1:16">
      <c r="A4" s="5"/>
      <c r="C4" s="3"/>
      <c r="D4" s="3"/>
      <c r="E4" s="3"/>
      <c r="F4" s="3"/>
      <c r="G4" s="341"/>
      <c r="H4" s="3"/>
      <c r="I4" s="3"/>
      <c r="O4" s="188" t="s">
        <v>673</v>
      </c>
    </row>
    <row r="5" spans="1:16" ht="15" customHeight="1">
      <c r="A5" s="44"/>
      <c r="C5" s="46"/>
      <c r="D5" s="46"/>
      <c r="E5" s="46"/>
      <c r="F5" s="46"/>
      <c r="G5" s="342"/>
    </row>
    <row r="6" spans="1:16" s="311" customFormat="1">
      <c r="A6" s="345" t="s">
        <v>4</v>
      </c>
      <c r="G6" s="320"/>
      <c r="H6" s="353" t="s">
        <v>694</v>
      </c>
      <c r="I6" s="595" t="s">
        <v>948</v>
      </c>
      <c r="P6" s="2"/>
    </row>
    <row r="7" spans="1:16" s="311" customFormat="1">
      <c r="A7" s="343">
        <v>1</v>
      </c>
      <c r="B7" s="320"/>
      <c r="G7" s="320"/>
      <c r="H7" s="312" t="s">
        <v>687</v>
      </c>
      <c r="I7" s="333" t="s">
        <v>695</v>
      </c>
      <c r="J7" s="333"/>
      <c r="K7" s="336"/>
      <c r="L7" s="312" t="s">
        <v>687</v>
      </c>
      <c r="M7" s="333" t="s">
        <v>697</v>
      </c>
      <c r="N7" s="333"/>
      <c r="O7" s="359"/>
      <c r="P7" s="2"/>
    </row>
    <row r="8" spans="1:16" s="311" customFormat="1">
      <c r="A8" s="343">
        <f>A7+1</f>
        <v>2</v>
      </c>
      <c r="B8" s="320"/>
      <c r="G8" s="320"/>
      <c r="H8" s="313" t="s">
        <v>696</v>
      </c>
      <c r="I8" s="334" t="s">
        <v>688</v>
      </c>
      <c r="L8" s="313" t="s">
        <v>696</v>
      </c>
      <c r="M8" s="334" t="s">
        <v>688</v>
      </c>
      <c r="O8" s="314"/>
      <c r="P8" s="2"/>
    </row>
    <row r="9" spans="1:16" s="311" customFormat="1">
      <c r="A9" s="343">
        <f t="shared" ref="A9:A14" si="0">A8+1</f>
        <v>3</v>
      </c>
      <c r="B9" s="320"/>
      <c r="G9" s="320"/>
      <c r="H9" s="313" t="s">
        <v>689</v>
      </c>
      <c r="I9" s="335">
        <v>0</v>
      </c>
      <c r="J9" s="311" t="s">
        <v>636</v>
      </c>
      <c r="L9" s="313" t="s">
        <v>689</v>
      </c>
      <c r="M9" s="335">
        <v>0</v>
      </c>
      <c r="N9" s="311" t="s">
        <v>636</v>
      </c>
      <c r="O9" s="314"/>
      <c r="P9" s="2"/>
    </row>
    <row r="10" spans="1:16" s="311" customFormat="1">
      <c r="A10" s="343">
        <f t="shared" si="0"/>
        <v>4</v>
      </c>
      <c r="B10" s="320"/>
      <c r="G10" s="320"/>
      <c r="H10" s="313" t="s">
        <v>690</v>
      </c>
      <c r="I10" s="335">
        <v>0</v>
      </c>
      <c r="J10" s="311" t="s">
        <v>700</v>
      </c>
      <c r="L10" s="313" t="s">
        <v>690</v>
      </c>
      <c r="M10" s="335">
        <v>0</v>
      </c>
      <c r="N10" s="311" t="s">
        <v>700</v>
      </c>
      <c r="O10" s="314"/>
      <c r="P10" s="2"/>
    </row>
    <row r="11" spans="1:16" s="311" customFormat="1">
      <c r="A11" s="343">
        <f t="shared" si="0"/>
        <v>5</v>
      </c>
      <c r="B11" s="320"/>
      <c r="G11" s="320"/>
      <c r="H11" s="313" t="s">
        <v>713</v>
      </c>
      <c r="I11" s="315">
        <f>I10*'Act Att-H'!E214</f>
        <v>0</v>
      </c>
      <c r="L11" s="313" t="s">
        <v>713</v>
      </c>
      <c r="M11" s="315">
        <f>M10*'Act Att-H'!E214</f>
        <v>0</v>
      </c>
      <c r="O11" s="314"/>
      <c r="P11" s="2"/>
    </row>
    <row r="12" spans="1:16" s="311" customFormat="1">
      <c r="A12" s="343">
        <f t="shared" si="0"/>
        <v>6</v>
      </c>
      <c r="B12" s="320"/>
      <c r="G12" s="320"/>
      <c r="H12" s="313" t="s">
        <v>691</v>
      </c>
      <c r="I12" s="337"/>
      <c r="L12" s="313" t="s">
        <v>691</v>
      </c>
      <c r="M12" s="337"/>
      <c r="O12" s="314"/>
      <c r="P12" s="2"/>
    </row>
    <row r="13" spans="1:16" s="311" customFormat="1">
      <c r="A13" s="343">
        <f t="shared" si="0"/>
        <v>7</v>
      </c>
      <c r="G13" s="320"/>
      <c r="H13" s="313"/>
      <c r="L13" s="313"/>
      <c r="O13" s="314"/>
      <c r="P13" s="2"/>
    </row>
    <row r="14" spans="1:16" s="311" customFormat="1">
      <c r="A14" s="343">
        <f t="shared" si="0"/>
        <v>8</v>
      </c>
      <c r="B14" s="320"/>
      <c r="C14" s="798" t="s">
        <v>9</v>
      </c>
      <c r="D14" s="798"/>
      <c r="E14" s="798"/>
      <c r="F14" s="798"/>
      <c r="G14" s="320"/>
      <c r="H14" s="313"/>
      <c r="L14" s="313"/>
      <c r="O14" s="314"/>
      <c r="P14" s="2"/>
    </row>
    <row r="15" spans="1:16" s="311" customFormat="1">
      <c r="A15" s="320"/>
      <c r="B15" s="320"/>
      <c r="G15" s="320"/>
      <c r="H15" s="313"/>
      <c r="K15" s="311" t="s">
        <v>1132</v>
      </c>
      <c r="L15" s="313"/>
      <c r="O15" s="314" t="s">
        <v>1132</v>
      </c>
      <c r="P15" s="2"/>
    </row>
    <row r="16" spans="1:16" s="311" customFormat="1" ht="57" customHeight="1">
      <c r="A16" s="320"/>
      <c r="B16" s="340" t="s">
        <v>269</v>
      </c>
      <c r="C16" s="340" t="s">
        <v>692</v>
      </c>
      <c r="D16" s="340" t="s">
        <v>486</v>
      </c>
      <c r="E16" s="340" t="s">
        <v>693</v>
      </c>
      <c r="F16" s="340" t="s">
        <v>707</v>
      </c>
      <c r="G16" s="360"/>
      <c r="H16" s="319" t="s">
        <v>692</v>
      </c>
      <c r="I16" s="715" t="s">
        <v>1082</v>
      </c>
      <c r="J16" s="320" t="s">
        <v>693</v>
      </c>
      <c r="K16" s="715" t="s">
        <v>1134</v>
      </c>
      <c r="L16" s="319" t="s">
        <v>692</v>
      </c>
      <c r="M16" s="715" t="s">
        <v>1082</v>
      </c>
      <c r="N16" s="320" t="s">
        <v>693</v>
      </c>
      <c r="O16" s="716" t="s">
        <v>1134</v>
      </c>
      <c r="P16" s="2"/>
    </row>
    <row r="17" spans="1:16" s="311" customFormat="1">
      <c r="A17" s="320"/>
      <c r="B17" s="318" t="s">
        <v>157</v>
      </c>
      <c r="C17" s="318" t="s">
        <v>158</v>
      </c>
      <c r="D17" s="318" t="s">
        <v>703</v>
      </c>
      <c r="E17" s="318" t="s">
        <v>704</v>
      </c>
      <c r="F17" s="318" t="s">
        <v>705</v>
      </c>
      <c r="G17" s="316"/>
      <c r="H17" s="318" t="s">
        <v>715</v>
      </c>
      <c r="I17" s="684" t="s">
        <v>716</v>
      </c>
      <c r="J17" s="318" t="s">
        <v>717</v>
      </c>
      <c r="K17" s="717" t="s">
        <v>718</v>
      </c>
      <c r="L17" s="318" t="s">
        <v>719</v>
      </c>
      <c r="M17" s="684" t="s">
        <v>720</v>
      </c>
      <c r="N17" s="318" t="s">
        <v>721</v>
      </c>
      <c r="O17" s="717" t="s">
        <v>722</v>
      </c>
      <c r="P17" s="2"/>
    </row>
    <row r="18" spans="1:16" s="311" customFormat="1">
      <c r="A18" s="320"/>
      <c r="B18" s="320"/>
      <c r="G18" s="320"/>
      <c r="H18" s="319"/>
      <c r="I18" s="320"/>
      <c r="J18" s="320"/>
      <c r="K18" s="320"/>
      <c r="L18" s="319"/>
      <c r="M18" s="320"/>
      <c r="N18" s="320"/>
      <c r="O18" s="321"/>
      <c r="P18" s="2"/>
    </row>
    <row r="19" spans="1:16" s="311" customFormat="1">
      <c r="A19" s="343">
        <f>A14+1</f>
        <v>9</v>
      </c>
      <c r="B19" s="346" t="s">
        <v>1221</v>
      </c>
      <c r="C19" s="322">
        <f>+H19+L19</f>
        <v>0</v>
      </c>
      <c r="D19" s="322">
        <f>+I19+M19</f>
        <v>0</v>
      </c>
      <c r="E19" s="322">
        <f>+J19+N19</f>
        <v>0</v>
      </c>
      <c r="F19" s="322">
        <f>+K19+O19</f>
        <v>0</v>
      </c>
      <c r="G19" s="343"/>
      <c r="H19" s="338">
        <v>0</v>
      </c>
      <c r="I19" s="339">
        <v>0</v>
      </c>
      <c r="J19" s="685">
        <f>+H19-I19</f>
        <v>0</v>
      </c>
      <c r="K19" s="323">
        <f>ROUND(J19*I$11,2)</f>
        <v>0</v>
      </c>
      <c r="L19" s="338">
        <v>0</v>
      </c>
      <c r="M19" s="339">
        <v>0</v>
      </c>
      <c r="N19" s="685">
        <f>+L19-M19</f>
        <v>0</v>
      </c>
      <c r="O19" s="324">
        <f>ROUND(N19*M$11,2)</f>
        <v>0</v>
      </c>
      <c r="P19" s="2"/>
    </row>
    <row r="20" spans="1:16" s="311" customFormat="1">
      <c r="A20" s="343">
        <f t="shared" ref="A20:A42" si="1">A19+1</f>
        <v>10</v>
      </c>
      <c r="B20" s="346" t="s">
        <v>1221</v>
      </c>
      <c r="C20" s="322">
        <f t="shared" ref="C20:C42" si="2">+H20+L20</f>
        <v>0</v>
      </c>
      <c r="D20" s="322">
        <f t="shared" ref="D20:D42" si="3">+I20+M20</f>
        <v>0</v>
      </c>
      <c r="E20" s="322">
        <f t="shared" ref="E20:E42" si="4">+J20+N20</f>
        <v>0</v>
      </c>
      <c r="F20" s="322">
        <f t="shared" ref="F20:F42" si="5">+K20+O20</f>
        <v>0</v>
      </c>
      <c r="G20" s="343"/>
      <c r="H20" s="338">
        <v>0</v>
      </c>
      <c r="I20" s="685">
        <f>(H20*$I$9)+I19</f>
        <v>0</v>
      </c>
      <c r="J20" s="323">
        <f>+H20-I20</f>
        <v>0</v>
      </c>
      <c r="K20" s="323">
        <f t="shared" ref="K20:K42" si="6">ROUND(J20*I$11,2)</f>
        <v>0</v>
      </c>
      <c r="L20" s="338">
        <v>0</v>
      </c>
      <c r="M20" s="685">
        <f>(L20*$M$9)+M19</f>
        <v>0</v>
      </c>
      <c r="N20" s="323">
        <f>+L20-M20</f>
        <v>0</v>
      </c>
      <c r="O20" s="324">
        <f t="shared" ref="O20:O42" si="7">ROUND(N20*M$11,2)</f>
        <v>0</v>
      </c>
      <c r="P20" s="2"/>
    </row>
    <row r="21" spans="1:16" s="311" customFormat="1">
      <c r="A21" s="343">
        <f t="shared" si="1"/>
        <v>11</v>
      </c>
      <c r="B21" s="346" t="s">
        <v>1221</v>
      </c>
      <c r="C21" s="322">
        <f t="shared" si="2"/>
        <v>0</v>
      </c>
      <c r="D21" s="322">
        <f t="shared" si="3"/>
        <v>0</v>
      </c>
      <c r="E21" s="322">
        <f t="shared" si="4"/>
        <v>0</v>
      </c>
      <c r="F21" s="322">
        <f t="shared" si="5"/>
        <v>0</v>
      </c>
      <c r="G21" s="343"/>
      <c r="H21" s="338">
        <v>0</v>
      </c>
      <c r="I21" s="685">
        <f t="shared" ref="I21:I42" si="8">(H21*$I$9)+I20</f>
        <v>0</v>
      </c>
      <c r="J21" s="323">
        <f>+H21-I21</f>
        <v>0</v>
      </c>
      <c r="K21" s="323">
        <f t="shared" si="6"/>
        <v>0</v>
      </c>
      <c r="L21" s="338">
        <v>0</v>
      </c>
      <c r="M21" s="685">
        <f t="shared" ref="M21:M42" si="9">(L21*$M$9)+M20</f>
        <v>0</v>
      </c>
      <c r="N21" s="323">
        <f>+L21-M21</f>
        <v>0</v>
      </c>
      <c r="O21" s="324">
        <f t="shared" si="7"/>
        <v>0</v>
      </c>
      <c r="P21" s="2"/>
    </row>
    <row r="22" spans="1:16" s="311" customFormat="1">
      <c r="A22" s="343">
        <f t="shared" si="1"/>
        <v>12</v>
      </c>
      <c r="B22" s="346" t="s">
        <v>1221</v>
      </c>
      <c r="C22" s="322">
        <f t="shared" si="2"/>
        <v>0</v>
      </c>
      <c r="D22" s="322">
        <f t="shared" si="3"/>
        <v>0</v>
      </c>
      <c r="E22" s="322">
        <f t="shared" si="4"/>
        <v>0</v>
      </c>
      <c r="F22" s="322">
        <f t="shared" si="5"/>
        <v>0</v>
      </c>
      <c r="G22" s="343"/>
      <c r="H22" s="338">
        <v>0</v>
      </c>
      <c r="I22" s="685">
        <f t="shared" si="8"/>
        <v>0</v>
      </c>
      <c r="J22" s="323">
        <f>+H22-I22</f>
        <v>0</v>
      </c>
      <c r="K22" s="323">
        <f t="shared" si="6"/>
        <v>0</v>
      </c>
      <c r="L22" s="338">
        <v>0</v>
      </c>
      <c r="M22" s="685">
        <f t="shared" si="9"/>
        <v>0</v>
      </c>
      <c r="N22" s="323">
        <f>+L22-M22</f>
        <v>0</v>
      </c>
      <c r="O22" s="324">
        <f t="shared" si="7"/>
        <v>0</v>
      </c>
      <c r="P22" s="2"/>
    </row>
    <row r="23" spans="1:16" s="311" customFormat="1">
      <c r="A23" s="343">
        <f t="shared" si="1"/>
        <v>13</v>
      </c>
      <c r="B23" s="346" t="s">
        <v>1221</v>
      </c>
      <c r="C23" s="322">
        <f t="shared" si="2"/>
        <v>0</v>
      </c>
      <c r="D23" s="322">
        <f t="shared" si="3"/>
        <v>0</v>
      </c>
      <c r="E23" s="322">
        <f t="shared" si="4"/>
        <v>0</v>
      </c>
      <c r="F23" s="322">
        <f t="shared" si="5"/>
        <v>0</v>
      </c>
      <c r="G23" s="343"/>
      <c r="H23" s="338">
        <v>0</v>
      </c>
      <c r="I23" s="685">
        <f t="shared" si="8"/>
        <v>0</v>
      </c>
      <c r="J23" s="323">
        <f t="shared" ref="J23:J42" si="10">+H23-I23</f>
        <v>0</v>
      </c>
      <c r="K23" s="323">
        <f t="shared" si="6"/>
        <v>0</v>
      </c>
      <c r="L23" s="338">
        <v>0</v>
      </c>
      <c r="M23" s="685">
        <f t="shared" si="9"/>
        <v>0</v>
      </c>
      <c r="N23" s="323">
        <f t="shared" ref="N23:N42" si="11">+L23-M23</f>
        <v>0</v>
      </c>
      <c r="O23" s="324">
        <f t="shared" si="7"/>
        <v>0</v>
      </c>
      <c r="P23" s="2"/>
    </row>
    <row r="24" spans="1:16" s="311" customFormat="1">
      <c r="A24" s="343">
        <f t="shared" si="1"/>
        <v>14</v>
      </c>
      <c r="B24" s="346" t="s">
        <v>1221</v>
      </c>
      <c r="C24" s="322">
        <f t="shared" si="2"/>
        <v>0</v>
      </c>
      <c r="D24" s="322">
        <f t="shared" si="3"/>
        <v>0</v>
      </c>
      <c r="E24" s="322">
        <f t="shared" si="4"/>
        <v>0</v>
      </c>
      <c r="F24" s="322">
        <f t="shared" si="5"/>
        <v>0</v>
      </c>
      <c r="G24" s="343"/>
      <c r="H24" s="338">
        <v>0</v>
      </c>
      <c r="I24" s="685">
        <f t="shared" si="8"/>
        <v>0</v>
      </c>
      <c r="J24" s="323">
        <f t="shared" si="10"/>
        <v>0</v>
      </c>
      <c r="K24" s="323">
        <f t="shared" si="6"/>
        <v>0</v>
      </c>
      <c r="L24" s="338">
        <v>0</v>
      </c>
      <c r="M24" s="685">
        <f t="shared" si="9"/>
        <v>0</v>
      </c>
      <c r="N24" s="323">
        <f t="shared" si="11"/>
        <v>0</v>
      </c>
      <c r="O24" s="324">
        <f t="shared" si="7"/>
        <v>0</v>
      </c>
      <c r="P24" s="2"/>
    </row>
    <row r="25" spans="1:16" s="311" customFormat="1">
      <c r="A25" s="343">
        <f t="shared" si="1"/>
        <v>15</v>
      </c>
      <c r="B25" s="346" t="s">
        <v>1221</v>
      </c>
      <c r="C25" s="322">
        <f t="shared" si="2"/>
        <v>0</v>
      </c>
      <c r="D25" s="322">
        <f t="shared" si="3"/>
        <v>0</v>
      </c>
      <c r="E25" s="322">
        <f t="shared" si="4"/>
        <v>0</v>
      </c>
      <c r="F25" s="322">
        <f t="shared" si="5"/>
        <v>0</v>
      </c>
      <c r="G25" s="343"/>
      <c r="H25" s="338">
        <v>0</v>
      </c>
      <c r="I25" s="685">
        <f t="shared" si="8"/>
        <v>0</v>
      </c>
      <c r="J25" s="323">
        <f t="shared" si="10"/>
        <v>0</v>
      </c>
      <c r="K25" s="323">
        <f t="shared" si="6"/>
        <v>0</v>
      </c>
      <c r="L25" s="338">
        <v>0</v>
      </c>
      <c r="M25" s="685">
        <f t="shared" si="9"/>
        <v>0</v>
      </c>
      <c r="N25" s="323">
        <f t="shared" si="11"/>
        <v>0</v>
      </c>
      <c r="O25" s="324">
        <f t="shared" si="7"/>
        <v>0</v>
      </c>
      <c r="P25" s="2"/>
    </row>
    <row r="26" spans="1:16" s="311" customFormat="1">
      <c r="A26" s="343">
        <f t="shared" si="1"/>
        <v>16</v>
      </c>
      <c r="B26" s="346" t="s">
        <v>1221</v>
      </c>
      <c r="C26" s="322">
        <f t="shared" si="2"/>
        <v>0</v>
      </c>
      <c r="D26" s="322">
        <f t="shared" si="3"/>
        <v>0</v>
      </c>
      <c r="E26" s="322">
        <f t="shared" si="4"/>
        <v>0</v>
      </c>
      <c r="F26" s="322">
        <f t="shared" si="5"/>
        <v>0</v>
      </c>
      <c r="G26" s="343"/>
      <c r="H26" s="338">
        <v>0</v>
      </c>
      <c r="I26" s="685">
        <f t="shared" si="8"/>
        <v>0</v>
      </c>
      <c r="J26" s="323">
        <f t="shared" si="10"/>
        <v>0</v>
      </c>
      <c r="K26" s="323">
        <f t="shared" si="6"/>
        <v>0</v>
      </c>
      <c r="L26" s="338">
        <v>0</v>
      </c>
      <c r="M26" s="685">
        <f t="shared" si="9"/>
        <v>0</v>
      </c>
      <c r="N26" s="323">
        <f t="shared" si="11"/>
        <v>0</v>
      </c>
      <c r="O26" s="324">
        <f t="shared" si="7"/>
        <v>0</v>
      </c>
      <c r="P26" s="2"/>
    </row>
    <row r="27" spans="1:16" s="311" customFormat="1">
      <c r="A27" s="343">
        <f t="shared" si="1"/>
        <v>17</v>
      </c>
      <c r="B27" s="346" t="s">
        <v>1221</v>
      </c>
      <c r="C27" s="322">
        <f t="shared" si="2"/>
        <v>0</v>
      </c>
      <c r="D27" s="322">
        <f t="shared" si="3"/>
        <v>0</v>
      </c>
      <c r="E27" s="322">
        <f t="shared" si="4"/>
        <v>0</v>
      </c>
      <c r="F27" s="322">
        <f t="shared" si="5"/>
        <v>0</v>
      </c>
      <c r="G27" s="343"/>
      <c r="H27" s="338">
        <v>0</v>
      </c>
      <c r="I27" s="685">
        <f t="shared" si="8"/>
        <v>0</v>
      </c>
      <c r="J27" s="323">
        <f t="shared" si="10"/>
        <v>0</v>
      </c>
      <c r="K27" s="323">
        <f t="shared" si="6"/>
        <v>0</v>
      </c>
      <c r="L27" s="338">
        <v>0</v>
      </c>
      <c r="M27" s="685">
        <f t="shared" si="9"/>
        <v>0</v>
      </c>
      <c r="N27" s="323">
        <f t="shared" si="11"/>
        <v>0</v>
      </c>
      <c r="O27" s="324">
        <f t="shared" si="7"/>
        <v>0</v>
      </c>
      <c r="P27" s="2"/>
    </row>
    <row r="28" spans="1:16" s="311" customFormat="1">
      <c r="A28" s="343">
        <f t="shared" si="1"/>
        <v>18</v>
      </c>
      <c r="B28" s="346" t="s">
        <v>1221</v>
      </c>
      <c r="C28" s="322">
        <f t="shared" si="2"/>
        <v>0</v>
      </c>
      <c r="D28" s="322">
        <f t="shared" si="3"/>
        <v>0</v>
      </c>
      <c r="E28" s="322">
        <f t="shared" si="4"/>
        <v>0</v>
      </c>
      <c r="F28" s="322">
        <f t="shared" si="5"/>
        <v>0</v>
      </c>
      <c r="G28" s="343"/>
      <c r="H28" s="338">
        <v>0</v>
      </c>
      <c r="I28" s="685">
        <f t="shared" si="8"/>
        <v>0</v>
      </c>
      <c r="J28" s="323">
        <f t="shared" si="10"/>
        <v>0</v>
      </c>
      <c r="K28" s="323">
        <f t="shared" si="6"/>
        <v>0</v>
      </c>
      <c r="L28" s="338">
        <v>0</v>
      </c>
      <c r="M28" s="685">
        <f t="shared" si="9"/>
        <v>0</v>
      </c>
      <c r="N28" s="323">
        <f t="shared" si="11"/>
        <v>0</v>
      </c>
      <c r="O28" s="324">
        <f t="shared" si="7"/>
        <v>0</v>
      </c>
      <c r="P28" s="2"/>
    </row>
    <row r="29" spans="1:16" s="311" customFormat="1">
      <c r="A29" s="343">
        <f t="shared" si="1"/>
        <v>19</v>
      </c>
      <c r="B29" s="346" t="s">
        <v>1221</v>
      </c>
      <c r="C29" s="322">
        <f t="shared" si="2"/>
        <v>0</v>
      </c>
      <c r="D29" s="322">
        <f t="shared" si="3"/>
        <v>0</v>
      </c>
      <c r="E29" s="322">
        <f t="shared" si="4"/>
        <v>0</v>
      </c>
      <c r="F29" s="322">
        <f t="shared" si="5"/>
        <v>0</v>
      </c>
      <c r="G29" s="343"/>
      <c r="H29" s="338">
        <v>0</v>
      </c>
      <c r="I29" s="685">
        <f t="shared" si="8"/>
        <v>0</v>
      </c>
      <c r="J29" s="323">
        <f t="shared" si="10"/>
        <v>0</v>
      </c>
      <c r="K29" s="323">
        <f t="shared" si="6"/>
        <v>0</v>
      </c>
      <c r="L29" s="338">
        <v>0</v>
      </c>
      <c r="M29" s="685">
        <f t="shared" si="9"/>
        <v>0</v>
      </c>
      <c r="N29" s="323">
        <f t="shared" si="11"/>
        <v>0</v>
      </c>
      <c r="O29" s="324">
        <f t="shared" si="7"/>
        <v>0</v>
      </c>
      <c r="P29" s="2"/>
    </row>
    <row r="30" spans="1:16" s="311" customFormat="1">
      <c r="A30" s="343">
        <f t="shared" si="1"/>
        <v>20</v>
      </c>
      <c r="B30" s="346" t="s">
        <v>1221</v>
      </c>
      <c r="C30" s="322">
        <f t="shared" si="2"/>
        <v>0</v>
      </c>
      <c r="D30" s="322">
        <f t="shared" si="3"/>
        <v>0</v>
      </c>
      <c r="E30" s="322">
        <f t="shared" si="4"/>
        <v>0</v>
      </c>
      <c r="F30" s="322">
        <f t="shared" si="5"/>
        <v>0</v>
      </c>
      <c r="G30" s="343"/>
      <c r="H30" s="338">
        <v>0</v>
      </c>
      <c r="I30" s="685">
        <f t="shared" si="8"/>
        <v>0</v>
      </c>
      <c r="J30" s="323">
        <f t="shared" si="10"/>
        <v>0</v>
      </c>
      <c r="K30" s="323">
        <f t="shared" si="6"/>
        <v>0</v>
      </c>
      <c r="L30" s="338">
        <v>0</v>
      </c>
      <c r="M30" s="685">
        <f t="shared" si="9"/>
        <v>0</v>
      </c>
      <c r="N30" s="323">
        <f t="shared" si="11"/>
        <v>0</v>
      </c>
      <c r="O30" s="324">
        <f t="shared" si="7"/>
        <v>0</v>
      </c>
      <c r="P30" s="2"/>
    </row>
    <row r="31" spans="1:16" s="311" customFormat="1">
      <c r="A31" s="343">
        <f t="shared" si="1"/>
        <v>21</v>
      </c>
      <c r="B31" s="346" t="s">
        <v>1221</v>
      </c>
      <c r="C31" s="322">
        <f t="shared" si="2"/>
        <v>0</v>
      </c>
      <c r="D31" s="322">
        <f t="shared" si="3"/>
        <v>0</v>
      </c>
      <c r="E31" s="322">
        <f t="shared" si="4"/>
        <v>0</v>
      </c>
      <c r="F31" s="322">
        <f t="shared" si="5"/>
        <v>0</v>
      </c>
      <c r="G31" s="343"/>
      <c r="H31" s="338">
        <v>0</v>
      </c>
      <c r="I31" s="685">
        <f t="shared" si="8"/>
        <v>0</v>
      </c>
      <c r="J31" s="323">
        <f t="shared" si="10"/>
        <v>0</v>
      </c>
      <c r="K31" s="323">
        <f t="shared" si="6"/>
        <v>0</v>
      </c>
      <c r="L31" s="338">
        <v>0</v>
      </c>
      <c r="M31" s="685">
        <f t="shared" si="9"/>
        <v>0</v>
      </c>
      <c r="N31" s="323">
        <f t="shared" si="11"/>
        <v>0</v>
      </c>
      <c r="O31" s="324">
        <f t="shared" si="7"/>
        <v>0</v>
      </c>
      <c r="P31" s="2"/>
    </row>
    <row r="32" spans="1:16" s="311" customFormat="1">
      <c r="A32" s="343">
        <f t="shared" si="1"/>
        <v>22</v>
      </c>
      <c r="B32" s="346" t="s">
        <v>1221</v>
      </c>
      <c r="C32" s="322">
        <f t="shared" si="2"/>
        <v>0</v>
      </c>
      <c r="D32" s="322">
        <f t="shared" si="3"/>
        <v>0</v>
      </c>
      <c r="E32" s="322">
        <f t="shared" si="4"/>
        <v>0</v>
      </c>
      <c r="F32" s="322">
        <f t="shared" si="5"/>
        <v>0</v>
      </c>
      <c r="G32" s="343"/>
      <c r="H32" s="338">
        <v>0</v>
      </c>
      <c r="I32" s="685">
        <f t="shared" si="8"/>
        <v>0</v>
      </c>
      <c r="J32" s="323">
        <f t="shared" si="10"/>
        <v>0</v>
      </c>
      <c r="K32" s="323">
        <f t="shared" si="6"/>
        <v>0</v>
      </c>
      <c r="L32" s="338">
        <v>0</v>
      </c>
      <c r="M32" s="685">
        <f t="shared" si="9"/>
        <v>0</v>
      </c>
      <c r="N32" s="323">
        <f t="shared" si="11"/>
        <v>0</v>
      </c>
      <c r="O32" s="324">
        <f t="shared" si="7"/>
        <v>0</v>
      </c>
      <c r="P32" s="2"/>
    </row>
    <row r="33" spans="1:16" s="311" customFormat="1">
      <c r="A33" s="343">
        <f t="shared" si="1"/>
        <v>23</v>
      </c>
      <c r="B33" s="346" t="s">
        <v>1221</v>
      </c>
      <c r="C33" s="322">
        <f t="shared" si="2"/>
        <v>0</v>
      </c>
      <c r="D33" s="322">
        <f t="shared" si="3"/>
        <v>0</v>
      </c>
      <c r="E33" s="322">
        <f t="shared" si="4"/>
        <v>0</v>
      </c>
      <c r="F33" s="322">
        <f t="shared" si="5"/>
        <v>0</v>
      </c>
      <c r="G33" s="343"/>
      <c r="H33" s="338">
        <v>0</v>
      </c>
      <c r="I33" s="685">
        <f t="shared" si="8"/>
        <v>0</v>
      </c>
      <c r="J33" s="323">
        <f t="shared" si="10"/>
        <v>0</v>
      </c>
      <c r="K33" s="323">
        <f t="shared" si="6"/>
        <v>0</v>
      </c>
      <c r="L33" s="338">
        <v>0</v>
      </c>
      <c r="M33" s="685">
        <f t="shared" si="9"/>
        <v>0</v>
      </c>
      <c r="N33" s="323">
        <f t="shared" si="11"/>
        <v>0</v>
      </c>
      <c r="O33" s="324">
        <f t="shared" si="7"/>
        <v>0</v>
      </c>
      <c r="P33" s="2"/>
    </row>
    <row r="34" spans="1:16" s="311" customFormat="1">
      <c r="A34" s="343">
        <f t="shared" si="1"/>
        <v>24</v>
      </c>
      <c r="B34" s="346" t="s">
        <v>1221</v>
      </c>
      <c r="C34" s="322">
        <f t="shared" si="2"/>
        <v>0</v>
      </c>
      <c r="D34" s="322">
        <f t="shared" si="3"/>
        <v>0</v>
      </c>
      <c r="E34" s="322">
        <f t="shared" si="4"/>
        <v>0</v>
      </c>
      <c r="F34" s="322">
        <f t="shared" si="5"/>
        <v>0</v>
      </c>
      <c r="G34" s="343"/>
      <c r="H34" s="338">
        <v>0</v>
      </c>
      <c r="I34" s="685">
        <f t="shared" si="8"/>
        <v>0</v>
      </c>
      <c r="J34" s="323">
        <f t="shared" si="10"/>
        <v>0</v>
      </c>
      <c r="K34" s="323">
        <f t="shared" si="6"/>
        <v>0</v>
      </c>
      <c r="L34" s="338">
        <v>0</v>
      </c>
      <c r="M34" s="685">
        <f t="shared" si="9"/>
        <v>0</v>
      </c>
      <c r="N34" s="323">
        <f t="shared" si="11"/>
        <v>0</v>
      </c>
      <c r="O34" s="324">
        <f t="shared" si="7"/>
        <v>0</v>
      </c>
      <c r="P34" s="2"/>
    </row>
    <row r="35" spans="1:16" s="311" customFormat="1">
      <c r="A35" s="343">
        <f t="shared" si="1"/>
        <v>25</v>
      </c>
      <c r="B35" s="346" t="s">
        <v>1221</v>
      </c>
      <c r="C35" s="322">
        <f t="shared" si="2"/>
        <v>0</v>
      </c>
      <c r="D35" s="322">
        <f t="shared" si="3"/>
        <v>0</v>
      </c>
      <c r="E35" s="322">
        <f t="shared" si="4"/>
        <v>0</v>
      </c>
      <c r="F35" s="322">
        <f t="shared" si="5"/>
        <v>0</v>
      </c>
      <c r="G35" s="343"/>
      <c r="H35" s="338">
        <v>0</v>
      </c>
      <c r="I35" s="685">
        <f t="shared" si="8"/>
        <v>0</v>
      </c>
      <c r="J35" s="323">
        <f t="shared" si="10"/>
        <v>0</v>
      </c>
      <c r="K35" s="323">
        <f t="shared" si="6"/>
        <v>0</v>
      </c>
      <c r="L35" s="338">
        <v>0</v>
      </c>
      <c r="M35" s="685">
        <f t="shared" si="9"/>
        <v>0</v>
      </c>
      <c r="N35" s="323">
        <f t="shared" si="11"/>
        <v>0</v>
      </c>
      <c r="O35" s="324">
        <f t="shared" si="7"/>
        <v>0</v>
      </c>
      <c r="P35" s="2"/>
    </row>
    <row r="36" spans="1:16" s="311" customFormat="1">
      <c r="A36" s="343">
        <f t="shared" si="1"/>
        <v>26</v>
      </c>
      <c r="B36" s="346" t="s">
        <v>1221</v>
      </c>
      <c r="C36" s="322">
        <f t="shared" si="2"/>
        <v>0</v>
      </c>
      <c r="D36" s="322">
        <f t="shared" si="3"/>
        <v>0</v>
      </c>
      <c r="E36" s="322">
        <f t="shared" si="4"/>
        <v>0</v>
      </c>
      <c r="F36" s="322">
        <f t="shared" si="5"/>
        <v>0</v>
      </c>
      <c r="G36" s="343"/>
      <c r="H36" s="338">
        <v>0</v>
      </c>
      <c r="I36" s="685">
        <f t="shared" si="8"/>
        <v>0</v>
      </c>
      <c r="J36" s="323">
        <f t="shared" si="10"/>
        <v>0</v>
      </c>
      <c r="K36" s="323">
        <f t="shared" si="6"/>
        <v>0</v>
      </c>
      <c r="L36" s="338">
        <v>0</v>
      </c>
      <c r="M36" s="685">
        <f t="shared" si="9"/>
        <v>0</v>
      </c>
      <c r="N36" s="323">
        <f t="shared" si="11"/>
        <v>0</v>
      </c>
      <c r="O36" s="324">
        <f t="shared" si="7"/>
        <v>0</v>
      </c>
      <c r="P36" s="2"/>
    </row>
    <row r="37" spans="1:16" s="311" customFormat="1">
      <c r="A37" s="343">
        <f t="shared" si="1"/>
        <v>27</v>
      </c>
      <c r="B37" s="346" t="s">
        <v>1221</v>
      </c>
      <c r="C37" s="322">
        <f t="shared" si="2"/>
        <v>0</v>
      </c>
      <c r="D37" s="322">
        <f t="shared" si="3"/>
        <v>0</v>
      </c>
      <c r="E37" s="322">
        <f t="shared" si="4"/>
        <v>0</v>
      </c>
      <c r="F37" s="322">
        <f t="shared" si="5"/>
        <v>0</v>
      </c>
      <c r="G37" s="343"/>
      <c r="H37" s="338">
        <v>0</v>
      </c>
      <c r="I37" s="685">
        <f t="shared" si="8"/>
        <v>0</v>
      </c>
      <c r="J37" s="323">
        <f t="shared" si="10"/>
        <v>0</v>
      </c>
      <c r="K37" s="323">
        <f t="shared" si="6"/>
        <v>0</v>
      </c>
      <c r="L37" s="338">
        <v>0</v>
      </c>
      <c r="M37" s="685">
        <f t="shared" si="9"/>
        <v>0</v>
      </c>
      <c r="N37" s="323">
        <f t="shared" si="11"/>
        <v>0</v>
      </c>
      <c r="O37" s="324">
        <f t="shared" si="7"/>
        <v>0</v>
      </c>
      <c r="P37" s="2"/>
    </row>
    <row r="38" spans="1:16" s="311" customFormat="1">
      <c r="A38" s="343">
        <f t="shared" si="1"/>
        <v>28</v>
      </c>
      <c r="B38" s="346" t="s">
        <v>1221</v>
      </c>
      <c r="C38" s="322">
        <f t="shared" si="2"/>
        <v>0</v>
      </c>
      <c r="D38" s="322">
        <f t="shared" si="3"/>
        <v>0</v>
      </c>
      <c r="E38" s="322">
        <f t="shared" si="4"/>
        <v>0</v>
      </c>
      <c r="F38" s="322">
        <f t="shared" si="5"/>
        <v>0</v>
      </c>
      <c r="G38" s="343"/>
      <c r="H38" s="338">
        <v>0</v>
      </c>
      <c r="I38" s="685">
        <f t="shared" si="8"/>
        <v>0</v>
      </c>
      <c r="J38" s="323">
        <f t="shared" si="10"/>
        <v>0</v>
      </c>
      <c r="K38" s="323">
        <f t="shared" si="6"/>
        <v>0</v>
      </c>
      <c r="L38" s="338">
        <v>0</v>
      </c>
      <c r="M38" s="685">
        <f t="shared" si="9"/>
        <v>0</v>
      </c>
      <c r="N38" s="323">
        <f t="shared" si="11"/>
        <v>0</v>
      </c>
      <c r="O38" s="324">
        <f t="shared" si="7"/>
        <v>0</v>
      </c>
      <c r="P38" s="2"/>
    </row>
    <row r="39" spans="1:16" s="311" customFormat="1">
      <c r="A39" s="343">
        <f t="shared" si="1"/>
        <v>29</v>
      </c>
      <c r="B39" s="346" t="s">
        <v>1221</v>
      </c>
      <c r="C39" s="322">
        <f t="shared" si="2"/>
        <v>0</v>
      </c>
      <c r="D39" s="322">
        <f t="shared" si="3"/>
        <v>0</v>
      </c>
      <c r="E39" s="322">
        <f t="shared" si="4"/>
        <v>0</v>
      </c>
      <c r="F39" s="322">
        <f t="shared" si="5"/>
        <v>0</v>
      </c>
      <c r="G39" s="343"/>
      <c r="H39" s="338">
        <v>0</v>
      </c>
      <c r="I39" s="685">
        <f t="shared" si="8"/>
        <v>0</v>
      </c>
      <c r="J39" s="323">
        <f t="shared" si="10"/>
        <v>0</v>
      </c>
      <c r="K39" s="323">
        <f t="shared" si="6"/>
        <v>0</v>
      </c>
      <c r="L39" s="338">
        <v>0</v>
      </c>
      <c r="M39" s="685">
        <f t="shared" si="9"/>
        <v>0</v>
      </c>
      <c r="N39" s="323">
        <f t="shared" si="11"/>
        <v>0</v>
      </c>
      <c r="O39" s="324">
        <f t="shared" si="7"/>
        <v>0</v>
      </c>
      <c r="P39" s="2"/>
    </row>
    <row r="40" spans="1:16" s="311" customFormat="1">
      <c r="A40" s="343">
        <f t="shared" si="1"/>
        <v>30</v>
      </c>
      <c r="B40" s="346" t="s">
        <v>1221</v>
      </c>
      <c r="C40" s="322">
        <f t="shared" si="2"/>
        <v>0</v>
      </c>
      <c r="D40" s="322">
        <f t="shared" si="3"/>
        <v>0</v>
      </c>
      <c r="E40" s="322">
        <f t="shared" si="4"/>
        <v>0</v>
      </c>
      <c r="F40" s="322">
        <f t="shared" si="5"/>
        <v>0</v>
      </c>
      <c r="G40" s="343"/>
      <c r="H40" s="338">
        <v>0</v>
      </c>
      <c r="I40" s="685">
        <f t="shared" si="8"/>
        <v>0</v>
      </c>
      <c r="J40" s="323">
        <f t="shared" si="10"/>
        <v>0</v>
      </c>
      <c r="K40" s="323">
        <f t="shared" si="6"/>
        <v>0</v>
      </c>
      <c r="L40" s="338">
        <v>0</v>
      </c>
      <c r="M40" s="685">
        <f t="shared" si="9"/>
        <v>0</v>
      </c>
      <c r="N40" s="323">
        <f t="shared" si="11"/>
        <v>0</v>
      </c>
      <c r="O40" s="324">
        <f t="shared" si="7"/>
        <v>0</v>
      </c>
      <c r="P40" s="2"/>
    </row>
    <row r="41" spans="1:16" s="311" customFormat="1">
      <c r="A41" s="343">
        <f t="shared" si="1"/>
        <v>31</v>
      </c>
      <c r="B41" s="346" t="s">
        <v>1221</v>
      </c>
      <c r="C41" s="322">
        <f t="shared" si="2"/>
        <v>0</v>
      </c>
      <c r="D41" s="322">
        <f t="shared" si="3"/>
        <v>0</v>
      </c>
      <c r="E41" s="322">
        <f t="shared" si="4"/>
        <v>0</v>
      </c>
      <c r="F41" s="322">
        <f t="shared" si="5"/>
        <v>0</v>
      </c>
      <c r="G41" s="343"/>
      <c r="H41" s="338">
        <v>0</v>
      </c>
      <c r="I41" s="685">
        <f t="shared" si="8"/>
        <v>0</v>
      </c>
      <c r="J41" s="323">
        <f t="shared" si="10"/>
        <v>0</v>
      </c>
      <c r="K41" s="323">
        <f t="shared" si="6"/>
        <v>0</v>
      </c>
      <c r="L41" s="338">
        <v>0</v>
      </c>
      <c r="M41" s="685">
        <f t="shared" si="9"/>
        <v>0</v>
      </c>
      <c r="N41" s="323">
        <f t="shared" si="11"/>
        <v>0</v>
      </c>
      <c r="O41" s="324">
        <f t="shared" si="7"/>
        <v>0</v>
      </c>
      <c r="P41" s="2"/>
    </row>
    <row r="42" spans="1:16" s="311" customFormat="1">
      <c r="A42" s="343">
        <f t="shared" si="1"/>
        <v>32</v>
      </c>
      <c r="B42" s="346" t="s">
        <v>1221</v>
      </c>
      <c r="C42" s="322">
        <f t="shared" si="2"/>
        <v>0</v>
      </c>
      <c r="D42" s="322">
        <f t="shared" si="3"/>
        <v>0</v>
      </c>
      <c r="E42" s="322">
        <f t="shared" si="4"/>
        <v>0</v>
      </c>
      <c r="F42" s="322">
        <f t="shared" si="5"/>
        <v>0</v>
      </c>
      <c r="G42" s="343"/>
      <c r="H42" s="338">
        <v>0</v>
      </c>
      <c r="I42" s="685">
        <f t="shared" si="8"/>
        <v>0</v>
      </c>
      <c r="J42" s="323">
        <f t="shared" si="10"/>
        <v>0</v>
      </c>
      <c r="K42" s="323">
        <f t="shared" si="6"/>
        <v>0</v>
      </c>
      <c r="L42" s="338">
        <v>0</v>
      </c>
      <c r="M42" s="685">
        <f t="shared" si="9"/>
        <v>0</v>
      </c>
      <c r="N42" s="323">
        <f t="shared" si="11"/>
        <v>0</v>
      </c>
      <c r="O42" s="324">
        <f t="shared" si="7"/>
        <v>0</v>
      </c>
      <c r="P42" s="2"/>
    </row>
    <row r="43" spans="1:16" s="311" customFormat="1">
      <c r="A43" s="320"/>
      <c r="B43" s="343"/>
      <c r="G43" s="343"/>
      <c r="H43" s="325"/>
      <c r="I43" s="326"/>
      <c r="J43" s="326"/>
      <c r="K43" s="326"/>
      <c r="L43" s="327"/>
      <c r="M43" s="326"/>
      <c r="N43" s="328"/>
      <c r="O43" s="329"/>
      <c r="P43" s="2"/>
    </row>
    <row r="44" spans="1:16" s="311" customFormat="1">
      <c r="A44" s="345" t="s">
        <v>174</v>
      </c>
      <c r="B44" s="343"/>
      <c r="G44" s="343"/>
      <c r="H44" s="330"/>
      <c r="I44" s="330"/>
      <c r="J44" s="330"/>
      <c r="K44" s="330"/>
      <c r="L44" s="331"/>
      <c r="M44" s="330"/>
      <c r="N44" s="332"/>
      <c r="O44" s="332"/>
      <c r="P44" s="2"/>
    </row>
    <row r="45" spans="1:16" s="311" customFormat="1">
      <c r="A45" s="320" t="s">
        <v>79</v>
      </c>
      <c r="B45" s="344" t="s">
        <v>698</v>
      </c>
      <c r="G45" s="343"/>
      <c r="H45" s="330"/>
      <c r="I45" s="330"/>
      <c r="J45" s="330"/>
      <c r="K45" s="330"/>
      <c r="L45" s="331"/>
      <c r="M45" s="330"/>
      <c r="N45" s="332"/>
      <c r="O45" s="332"/>
      <c r="P45" s="2"/>
    </row>
    <row r="46" spans="1:16" s="16" customFormat="1" ht="15" customHeight="1">
      <c r="A46" s="320" t="s">
        <v>80</v>
      </c>
      <c r="B46" s="344" t="s">
        <v>699</v>
      </c>
      <c r="C46" s="46"/>
      <c r="D46" s="46"/>
      <c r="E46" s="46"/>
      <c r="F46" s="46"/>
      <c r="G46" s="342"/>
      <c r="H46" s="2"/>
      <c r="I46" s="2"/>
      <c r="P46" s="2"/>
    </row>
    <row r="47" spans="1:16" s="16" customFormat="1">
      <c r="A47" s="320" t="s">
        <v>81</v>
      </c>
      <c r="B47" s="797" t="s">
        <v>1126</v>
      </c>
      <c r="C47" s="797"/>
      <c r="D47" s="797"/>
      <c r="E47" s="797"/>
      <c r="F47" s="797"/>
      <c r="G47" s="797"/>
      <c r="H47" s="797"/>
      <c r="I47" s="797"/>
      <c r="J47" s="797"/>
      <c r="K47" s="797"/>
      <c r="P47" s="2"/>
    </row>
    <row r="48" spans="1:16" ht="15" customHeight="1">
      <c r="A48" s="320" t="s">
        <v>82</v>
      </c>
      <c r="B48" s="344" t="s">
        <v>1133</v>
      </c>
      <c r="C48" s="46"/>
      <c r="D48" s="46"/>
      <c r="E48" s="46"/>
      <c r="F48" s="46"/>
      <c r="G48" s="342"/>
    </row>
    <row r="49" spans="1:7" ht="15" customHeight="1">
      <c r="A49" s="44"/>
      <c r="B49" s="45"/>
      <c r="C49" s="46"/>
      <c r="D49" s="46"/>
      <c r="E49" s="46"/>
      <c r="F49" s="46"/>
      <c r="G49" s="342"/>
    </row>
    <row r="50" spans="1:7" ht="15" customHeight="1">
      <c r="A50" s="44"/>
      <c r="B50" s="45"/>
      <c r="C50" s="46"/>
      <c r="D50" s="46"/>
      <c r="E50" s="46"/>
      <c r="F50" s="46"/>
      <c r="G50" s="342"/>
    </row>
    <row r="51" spans="1:7" ht="15" customHeight="1">
      <c r="A51" s="44"/>
      <c r="B51" s="45"/>
      <c r="C51" s="46"/>
      <c r="D51" s="46"/>
      <c r="E51" s="46"/>
      <c r="F51" s="46"/>
      <c r="G51" s="342"/>
    </row>
    <row r="52" spans="1:7" ht="15" customHeight="1">
      <c r="A52" s="44"/>
      <c r="B52" s="45"/>
      <c r="C52" s="46"/>
      <c r="D52" s="46"/>
      <c r="E52" s="46"/>
      <c r="F52" s="46"/>
      <c r="G52" s="342"/>
    </row>
    <row r="53" spans="1:7" ht="15" customHeight="1">
      <c r="A53" s="44"/>
      <c r="B53" s="45"/>
      <c r="C53" s="46"/>
      <c r="D53" s="46"/>
      <c r="E53" s="46"/>
      <c r="F53" s="46"/>
      <c r="G53" s="342"/>
    </row>
    <row r="54" spans="1:7">
      <c r="A54" s="44"/>
      <c r="B54" s="45"/>
      <c r="C54" s="46"/>
      <c r="D54" s="46"/>
      <c r="E54" s="46"/>
      <c r="F54" s="46"/>
      <c r="G54" s="342"/>
    </row>
    <row r="55" spans="1:7">
      <c r="A55" s="44"/>
      <c r="B55" s="45"/>
      <c r="C55" s="46"/>
      <c r="D55" s="46"/>
      <c r="E55" s="46"/>
      <c r="F55" s="46"/>
      <c r="G55" s="342"/>
    </row>
    <row r="56" spans="1:7">
      <c r="A56" s="44"/>
      <c r="B56" s="45"/>
      <c r="C56" s="46"/>
      <c r="D56" s="46"/>
      <c r="E56" s="46"/>
      <c r="F56" s="46"/>
      <c r="G56" s="342"/>
    </row>
    <row r="57" spans="1:7">
      <c r="A57" s="44"/>
      <c r="B57" s="45"/>
      <c r="C57" s="46"/>
      <c r="D57" s="46"/>
      <c r="E57" s="46"/>
      <c r="F57" s="46"/>
      <c r="G57" s="342"/>
    </row>
    <row r="58" spans="1:7">
      <c r="A58" s="44"/>
      <c r="B58" s="45"/>
      <c r="C58" s="46"/>
      <c r="D58" s="46"/>
      <c r="E58" s="46"/>
      <c r="F58" s="46"/>
      <c r="G58" s="342"/>
    </row>
    <row r="59" spans="1:7">
      <c r="A59" s="44"/>
      <c r="B59" s="45"/>
      <c r="C59" s="46"/>
      <c r="D59" s="46"/>
      <c r="E59" s="46"/>
      <c r="F59" s="46"/>
      <c r="G59" s="342"/>
    </row>
    <row r="60" spans="1:7">
      <c r="A60" s="44"/>
      <c r="B60" s="45"/>
      <c r="C60" s="46"/>
      <c r="D60" s="46"/>
      <c r="E60" s="46"/>
      <c r="F60" s="46"/>
      <c r="G60" s="342"/>
    </row>
    <row r="61" spans="1:7">
      <c r="A61" s="44"/>
      <c r="B61" s="45"/>
      <c r="C61" s="46"/>
      <c r="D61" s="46"/>
      <c r="E61" s="46"/>
      <c r="F61" s="46"/>
      <c r="G61" s="342"/>
    </row>
    <row r="62" spans="1:7">
      <c r="A62" s="44"/>
      <c r="B62" s="45"/>
      <c r="C62" s="46"/>
      <c r="D62" s="46"/>
      <c r="E62" s="46"/>
      <c r="F62" s="46"/>
      <c r="G62" s="342"/>
    </row>
    <row r="63" spans="1:7">
      <c r="A63" s="44"/>
      <c r="B63" s="45"/>
      <c r="C63" s="46"/>
      <c r="D63" s="46"/>
      <c r="E63" s="46"/>
      <c r="F63" s="46"/>
      <c r="G63" s="342"/>
    </row>
    <row r="64" spans="1:7">
      <c r="A64" s="44"/>
      <c r="B64" s="45"/>
      <c r="C64" s="46"/>
      <c r="D64" s="46"/>
      <c r="E64" s="46"/>
      <c r="F64" s="46"/>
      <c r="G64" s="342"/>
    </row>
    <row r="87" spans="1:12">
      <c r="J87" s="3"/>
    </row>
    <row r="88" spans="1:12">
      <c r="J88" s="3"/>
      <c r="L88" s="6"/>
    </row>
    <row r="89" spans="1:12">
      <c r="J89" s="3"/>
    </row>
    <row r="92" spans="1:12" ht="102" customHeight="1"/>
    <row r="93" spans="1:12" s="16" customFormat="1">
      <c r="A93" s="1"/>
      <c r="B93" s="27"/>
      <c r="C93" s="2"/>
      <c r="D93" s="2"/>
      <c r="E93" s="2"/>
      <c r="F93" s="2"/>
      <c r="G93" s="27"/>
      <c r="H93" s="2"/>
      <c r="I93" s="2"/>
    </row>
    <row r="94" spans="1:12" s="16" customFormat="1" ht="63.75" customHeight="1">
      <c r="A94" s="1"/>
      <c r="B94" s="27"/>
      <c r="C94" s="2"/>
      <c r="D94" s="2"/>
      <c r="E94" s="2"/>
      <c r="F94" s="2"/>
      <c r="G94" s="27"/>
      <c r="H94" s="2"/>
      <c r="I94" s="2"/>
    </row>
    <row r="110" spans="1:12" s="16" customFormat="1">
      <c r="A110" s="1"/>
      <c r="B110" s="27"/>
      <c r="C110" s="2"/>
      <c r="D110" s="2"/>
      <c r="E110" s="2"/>
      <c r="F110" s="2"/>
      <c r="G110" s="27"/>
      <c r="H110" s="2"/>
      <c r="I110" s="2"/>
      <c r="J110" s="2"/>
    </row>
    <row r="111" spans="1:12" s="16" customFormat="1">
      <c r="A111" s="1"/>
      <c r="B111" s="27"/>
      <c r="C111" s="2"/>
      <c r="D111" s="2"/>
      <c r="E111" s="2"/>
      <c r="F111" s="2"/>
      <c r="G111" s="27"/>
      <c r="H111" s="2"/>
      <c r="I111" s="2"/>
      <c r="J111" s="2"/>
      <c r="K111" s="2"/>
      <c r="L111" s="2"/>
    </row>
    <row r="112" spans="1:12" s="16" customFormat="1">
      <c r="A112" s="1"/>
      <c r="B112" s="27"/>
      <c r="C112" s="2"/>
      <c r="D112" s="2"/>
      <c r="E112" s="2"/>
      <c r="F112" s="2"/>
      <c r="G112" s="27"/>
      <c r="H112" s="2"/>
      <c r="I112" s="2"/>
      <c r="J112" s="2"/>
      <c r="L112" s="2"/>
    </row>
    <row r="113" spans="1:13" s="16" customFormat="1" ht="82.5" customHeight="1">
      <c r="A113" s="1"/>
      <c r="B113" s="27"/>
      <c r="C113" s="2"/>
      <c r="D113" s="2"/>
      <c r="E113" s="2"/>
      <c r="F113" s="2"/>
      <c r="G113" s="27"/>
      <c r="H113" s="2"/>
      <c r="I113" s="2"/>
      <c r="J113" s="29"/>
      <c r="K113" s="29"/>
      <c r="L113" s="29"/>
    </row>
    <row r="114" spans="1:13" s="16" customFormat="1">
      <c r="A114" s="1"/>
      <c r="B114" s="27"/>
      <c r="C114" s="2"/>
      <c r="D114" s="2"/>
      <c r="E114" s="2"/>
      <c r="F114" s="2"/>
      <c r="G114" s="27"/>
      <c r="H114" s="2"/>
      <c r="I114" s="2"/>
      <c r="J114" s="2"/>
      <c r="K114" s="2"/>
      <c r="L114" s="2"/>
    </row>
    <row r="115" spans="1:13" s="16" customFormat="1">
      <c r="A115" s="1"/>
      <c r="B115" s="27"/>
      <c r="C115" s="2"/>
      <c r="D115" s="2"/>
      <c r="E115" s="2"/>
      <c r="F115" s="2"/>
      <c r="G115" s="27"/>
      <c r="H115" s="2"/>
      <c r="I115" s="2"/>
      <c r="J115" s="2"/>
      <c r="K115" s="2"/>
      <c r="L115" s="2"/>
    </row>
    <row r="116" spans="1:13" s="16" customFormat="1">
      <c r="A116" s="1"/>
      <c r="B116" s="27"/>
      <c r="C116" s="2"/>
      <c r="D116" s="2"/>
      <c r="E116" s="2"/>
      <c r="F116" s="2"/>
      <c r="G116" s="27"/>
      <c r="H116" s="2"/>
      <c r="I116" s="2"/>
      <c r="J116" s="2"/>
      <c r="K116" s="2"/>
      <c r="L116" s="2"/>
    </row>
    <row r="117" spans="1:13" s="16" customFormat="1">
      <c r="A117" s="1"/>
      <c r="B117" s="27"/>
      <c r="C117" s="2"/>
      <c r="D117" s="2"/>
      <c r="E117" s="2"/>
      <c r="F117" s="2"/>
      <c r="G117" s="27"/>
      <c r="H117" s="2"/>
      <c r="I117" s="2"/>
      <c r="J117" s="2"/>
      <c r="K117" s="2"/>
      <c r="L117" s="2"/>
    </row>
    <row r="118" spans="1:13" s="16" customFormat="1">
      <c r="A118" s="1"/>
      <c r="B118" s="27"/>
      <c r="C118" s="2"/>
      <c r="D118" s="2"/>
      <c r="E118" s="2"/>
      <c r="F118" s="2"/>
      <c r="G118" s="27"/>
      <c r="H118" s="2"/>
      <c r="I118" s="2"/>
      <c r="J118" s="2"/>
      <c r="K118" s="2"/>
      <c r="L118" s="2"/>
    </row>
    <row r="119" spans="1:13" s="16" customFormat="1">
      <c r="A119" s="1"/>
      <c r="B119" s="27"/>
      <c r="C119" s="2"/>
      <c r="D119" s="2"/>
      <c r="E119" s="2"/>
      <c r="F119" s="2"/>
      <c r="G119" s="27"/>
      <c r="H119" s="2"/>
      <c r="I119" s="2"/>
      <c r="J119" s="2"/>
      <c r="K119" s="2"/>
      <c r="L119" s="2"/>
    </row>
    <row r="120" spans="1:13" s="16" customFormat="1">
      <c r="A120" s="1"/>
      <c r="B120" s="27"/>
      <c r="C120" s="2"/>
      <c r="D120" s="2"/>
      <c r="E120" s="2"/>
      <c r="F120" s="2"/>
      <c r="G120" s="27"/>
      <c r="H120" s="2"/>
      <c r="I120" s="2"/>
      <c r="J120" s="2"/>
      <c r="K120" s="2"/>
    </row>
    <row r="121" spans="1:13" s="16" customFormat="1">
      <c r="A121" s="1"/>
      <c r="B121" s="27"/>
      <c r="C121" s="2"/>
      <c r="D121" s="2"/>
      <c r="E121" s="2"/>
      <c r="F121" s="2"/>
      <c r="G121" s="27"/>
      <c r="H121" s="2"/>
      <c r="I121" s="2"/>
      <c r="J121" s="2"/>
      <c r="K121" s="2"/>
    </row>
    <row r="123" spans="1:13" ht="15" customHeight="1">
      <c r="J123" s="304"/>
      <c r="K123" s="304"/>
    </row>
    <row r="124" spans="1:13" ht="15" customHeight="1">
      <c r="J124" s="304"/>
      <c r="K124" s="304"/>
      <c r="L124" s="6"/>
    </row>
    <row r="125" spans="1:13" ht="30.75" customHeight="1">
      <c r="J125" s="47"/>
      <c r="K125" s="47"/>
    </row>
    <row r="126" spans="1:13">
      <c r="J126" s="47"/>
      <c r="K126" s="47"/>
    </row>
    <row r="127" spans="1:13">
      <c r="J127" s="48"/>
      <c r="K127" s="48"/>
      <c r="L127" s="48"/>
      <c r="M127" s="48"/>
    </row>
    <row r="129" spans="10:14" ht="30.75" customHeight="1">
      <c r="J129" s="305"/>
      <c r="K129" s="305"/>
      <c r="L129" s="305"/>
      <c r="M129" s="305"/>
      <c r="N129" s="305"/>
    </row>
    <row r="130" spans="10:14" ht="15" customHeight="1">
      <c r="J130" s="305"/>
      <c r="K130" s="305"/>
    </row>
    <row r="131" spans="10:14" ht="82.5" customHeight="1">
      <c r="J131" s="305"/>
      <c r="K131" s="305"/>
      <c r="L131" s="305"/>
      <c r="M131" s="305"/>
      <c r="N131" s="305"/>
    </row>
    <row r="132" spans="10:14" ht="15" customHeight="1">
      <c r="J132" s="50"/>
      <c r="K132" s="50"/>
    </row>
    <row r="133" spans="10:14">
      <c r="J133" s="50"/>
      <c r="K133" s="50"/>
    </row>
    <row r="134" spans="10:14" ht="69.75" customHeight="1">
      <c r="J134" s="50"/>
      <c r="K134" s="50"/>
    </row>
  </sheetData>
  <mergeCells count="5">
    <mergeCell ref="B47:K47"/>
    <mergeCell ref="C14:F14"/>
    <mergeCell ref="A1:O1"/>
    <mergeCell ref="A2:O2"/>
    <mergeCell ref="A3:O3"/>
  </mergeCells>
  <pageMargins left="0.5" right="0.25" top="1" bottom="1" header="0.5" footer="0.5"/>
  <pageSetup scale="62"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16</vt:i4>
      </vt:variant>
    </vt:vector>
  </HeadingPairs>
  <TitlesOfParts>
    <vt:vector size="35" baseType="lpstr">
      <vt:lpstr>Table of Contents</vt:lpstr>
      <vt:lpstr>Act Att-H</vt:lpstr>
      <vt:lpstr>A1-RevCred</vt:lpstr>
      <vt:lpstr>A2-A&amp;G</vt:lpstr>
      <vt:lpstr>A3-ADIT</vt:lpstr>
      <vt:lpstr>A4-Rate Base</vt:lpstr>
      <vt:lpstr>A5-Depr</vt:lpstr>
      <vt:lpstr>A6-Divisor</vt:lpstr>
      <vt:lpstr>A7-IncentPlant</vt:lpstr>
      <vt:lpstr>A8-Prepmts</vt:lpstr>
      <vt:lpstr>A9-PermDiffs</vt:lpstr>
      <vt:lpstr>TU-TrueUp</vt:lpstr>
      <vt:lpstr>Proj Att-H</vt:lpstr>
      <vt:lpstr>P1-Trans Plant</vt:lpstr>
      <vt:lpstr>P2-Exp. &amp; Rev. Credits</vt:lpstr>
      <vt:lpstr>P3-Divisor</vt:lpstr>
      <vt:lpstr>P4-IncentPlant</vt:lpstr>
      <vt:lpstr>P5-ADIT</vt:lpstr>
      <vt:lpstr>Schedule 1</vt:lpstr>
      <vt:lpstr>CE</vt:lpstr>
      <vt:lpstr>GP</vt:lpstr>
      <vt:lpstr>NP</vt:lpstr>
      <vt:lpstr>'A2-A&amp;G'!Print_Area</vt:lpstr>
      <vt:lpstr>'A3-ADIT'!Print_Area</vt:lpstr>
      <vt:lpstr>'A7-IncentPlant'!Print_Area</vt:lpstr>
      <vt:lpstr>'Act Att-H'!Print_Area</vt:lpstr>
      <vt:lpstr>'P1-Trans Plant'!Print_Area</vt:lpstr>
      <vt:lpstr>'P5-ADIT'!Print_Area</vt:lpstr>
      <vt:lpstr>'Proj Att-H'!Print_Area</vt:lpstr>
      <vt:lpstr>'TU-TrueUp'!Print_Area</vt:lpstr>
      <vt:lpstr>'P1-Trans Plant'!Print_Titles</vt:lpstr>
      <vt:lpstr>TE</vt:lpstr>
      <vt:lpstr>TP</vt:lpstr>
      <vt:lpstr>WCLTD</vt:lpstr>
      <vt:lpstr>WS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Newberry, David L</dc:creator>
  <cp:lastModifiedBy>Okouchi, Marie</cp:lastModifiedBy>
  <cp:lastPrinted>2020-03-19T19:29:59Z</cp:lastPrinted>
  <dcterms:created xsi:type="dcterms:W3CDTF">2008-03-20T17:17:47Z</dcterms:created>
  <dcterms:modified xsi:type="dcterms:W3CDTF">2023-09-27T21:01:21Z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